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urchasing\BID\2025\25-001 Inmate Medical Services\R25-001.ATTACHMENTS\"/>
    </mc:Choice>
  </mc:AlternateContent>
  <bookViews>
    <workbookView xWindow="0" yWindow="0" windowWidth="21750" windowHeight="11385"/>
  </bookViews>
  <sheets>
    <sheet name="Aug thru Dec 2023" sheetId="1" r:id="rId1"/>
    <sheet name="Staff Hrs" sheetId="4" r:id="rId2"/>
    <sheet name="POS Hours" sheetId="5" r:id="rId3"/>
    <sheet name="Claims Pivot" sheetId="3" r:id="rId4"/>
    <sheet name="Claims Detail Aug-Dec 2023" sheetId="2" r:id="rId5"/>
  </sheets>
  <definedNames>
    <definedName name="OSRRefB13_0_0x_0" localSheetId="0">'Aug thru Dec 2023'!$B$52:$B$53</definedName>
    <definedName name="OSRRefB13_0_0x_1" localSheetId="0">'Aug thru Dec 2023'!$C$52:$C$53</definedName>
    <definedName name="OSRRefB13_0_0x_2" localSheetId="0">'Aug thru Dec 2023'!$D$52:$D$53</definedName>
    <definedName name="OSRRefB13_0_0x_3" localSheetId="0">'Aug thru Dec 2023'!$E$52:$E$53</definedName>
    <definedName name="OSRRefB13_0_0x_4" localSheetId="0">'Aug thru Dec 2023'!$F$52:$F$53</definedName>
    <definedName name="OSRRefB13_1_0x_0" localSheetId="0">'Aug thru Dec 2023'!$B$58:$B$64</definedName>
    <definedName name="OSRRefB13_1_0x_1" localSheetId="0">'Aug thru Dec 2023'!$C$58:$C$64</definedName>
    <definedName name="OSRRefB13_1_0x_2" localSheetId="0">'Aug thru Dec 2023'!$D$58:$D$64</definedName>
    <definedName name="OSRRefB13_1_0x_3" localSheetId="0">'Aug thru Dec 2023'!$E$58:$E$64</definedName>
    <definedName name="OSRRefB13_1_0x_4" localSheetId="0">'Aug thru Dec 2023'!$F$58:$F$64</definedName>
    <definedName name="OSRRefB13_1_1x_0" localSheetId="0">'Aug thru Dec 2023'!$B$66:$B$70</definedName>
    <definedName name="OSRRefB13_1_1x_1" localSheetId="0">'Aug thru Dec 2023'!$C$66:$C$70</definedName>
    <definedName name="OSRRefB13_1_1x_2" localSheetId="0">'Aug thru Dec 2023'!$D$66:$D$70</definedName>
    <definedName name="OSRRefB13_1_1x_3" localSheetId="0">'Aug thru Dec 2023'!$E$66:$E$70</definedName>
    <definedName name="OSRRefB13_1_1x_4" localSheetId="0">'Aug thru Dec 2023'!$F$66:$F$70</definedName>
    <definedName name="OSRRefB13_2_0x_0" localSheetId="0">'Aug thru Dec 2023'!$B$75:$B$81</definedName>
    <definedName name="OSRRefB13_2_0x_1" localSheetId="0">'Aug thru Dec 2023'!$C$75:$C$81</definedName>
    <definedName name="OSRRefB13_2_0x_2" localSheetId="0">'Aug thru Dec 2023'!$D$75:$D$81</definedName>
    <definedName name="OSRRefB13_2_0x_3" localSheetId="0">'Aug thru Dec 2023'!$E$75:$E$81</definedName>
    <definedName name="OSRRefB13_2_0x_4" localSheetId="0">'Aug thru Dec 2023'!$F$75:$F$81</definedName>
    <definedName name="OSRRefB13_3_0x_0" localSheetId="0">'Aug thru Dec 2023'!$B$86:$B$94</definedName>
    <definedName name="OSRRefB13_3_0x_1" localSheetId="0">'Aug thru Dec 2023'!$C$86:$C$94</definedName>
    <definedName name="OSRRefB13_3_0x_2" localSheetId="0">'Aug thru Dec 2023'!$D$86:$D$94</definedName>
    <definedName name="OSRRefB13_3_0x_3" localSheetId="0">'Aug thru Dec 2023'!$E$86:$E$94</definedName>
    <definedName name="OSRRefB13_3_0x_4" localSheetId="0">'Aug thru Dec 2023'!$F$86:$F$94</definedName>
    <definedName name="OSRRefB14_0x_0" localSheetId="0">'Aug thru Dec 2023'!$B$54</definedName>
    <definedName name="OSRRefB14_0x_1" localSheetId="0">'Aug thru Dec 2023'!$C$54</definedName>
    <definedName name="OSRRefB14_0x_2" localSheetId="0">'Aug thru Dec 2023'!$D$54</definedName>
    <definedName name="OSRRefB14_0x_3" localSheetId="0">'Aug thru Dec 2023'!$E$54</definedName>
    <definedName name="OSRRefB14_0x_4" localSheetId="0">'Aug thru Dec 2023'!$F$54</definedName>
    <definedName name="OSRRefB14_1x_0" localSheetId="0">'Aug thru Dec 2023'!$B$65,'Aug thru Dec 2023'!$B$71</definedName>
    <definedName name="OSRRefB14_1x_1" localSheetId="0">'Aug thru Dec 2023'!$C$65,'Aug thru Dec 2023'!$C$71</definedName>
    <definedName name="OSRRefB14_1x_2" localSheetId="0">'Aug thru Dec 2023'!$D$65,'Aug thru Dec 2023'!$D$71</definedName>
    <definedName name="OSRRefB14_1x_3" localSheetId="0">'Aug thru Dec 2023'!$E$65,'Aug thru Dec 2023'!$E$71</definedName>
    <definedName name="OSRRefB14_1x_4" localSheetId="0">'Aug thru Dec 2023'!$F$65,'Aug thru Dec 2023'!$F$71</definedName>
    <definedName name="OSRRefB14_2x_0" localSheetId="0">'Aug thru Dec 2023'!$B$82</definedName>
    <definedName name="OSRRefB14_2x_1" localSheetId="0">'Aug thru Dec 2023'!$C$82</definedName>
    <definedName name="OSRRefB14_2x_2" localSheetId="0">'Aug thru Dec 2023'!$D$82</definedName>
    <definedName name="OSRRefB14_2x_3" localSheetId="0">'Aug thru Dec 2023'!$E$82</definedName>
    <definedName name="OSRRefB14_2x_4" localSheetId="0">'Aug thru Dec 2023'!$F$82</definedName>
    <definedName name="OSRRefB14_3x_0" localSheetId="0">'Aug thru Dec 2023'!$B$95</definedName>
    <definedName name="OSRRefB14_3x_1" localSheetId="0">'Aug thru Dec 2023'!$C$95</definedName>
    <definedName name="OSRRefB14_3x_2" localSheetId="0">'Aug thru Dec 2023'!$D$95</definedName>
    <definedName name="OSRRefB14_3x_3" localSheetId="0">'Aug thru Dec 2023'!$E$95</definedName>
    <definedName name="OSRRefB14_3x_4" localSheetId="0">'Aug thru Dec 2023'!$F$95</definedName>
    <definedName name="OSRRefB15x_0" localSheetId="0">'Aug thru Dec 2023'!$B$55,'Aug thru Dec 2023'!$B$72,'Aug thru Dec 2023'!$B$83,'Aug thru Dec 2023'!$B$96</definedName>
    <definedName name="OSRRefB15x_1" localSheetId="0">'Aug thru Dec 2023'!$C$55,'Aug thru Dec 2023'!$C$72,'Aug thru Dec 2023'!$C$83,'Aug thru Dec 2023'!$C$96</definedName>
    <definedName name="OSRRefB15x_2" localSheetId="0">'Aug thru Dec 2023'!$D$55,'Aug thru Dec 2023'!$D$72,'Aug thru Dec 2023'!$D$83,'Aug thru Dec 2023'!$D$96</definedName>
    <definedName name="OSRRefB15x_3" localSheetId="0">'Aug thru Dec 2023'!$E$55,'Aug thru Dec 2023'!$E$72,'Aug thru Dec 2023'!$E$83,'Aug thru Dec 2023'!$E$96</definedName>
    <definedName name="OSRRefB15x_4" localSheetId="0">'Aug thru Dec 2023'!$F$55,'Aug thru Dec 2023'!$F$72,'Aug thru Dec 2023'!$F$83,'Aug thru Dec 2023'!$F$96</definedName>
    <definedName name="OSRRefB17x_0" localSheetId="0">'Aug thru Dec 2023'!$B$98</definedName>
    <definedName name="OSRRefB17x_1" localSheetId="0">'Aug thru Dec 2023'!$C$98</definedName>
    <definedName name="OSRRefB17x_2" localSheetId="0">'Aug thru Dec 2023'!$D$98</definedName>
    <definedName name="OSRRefB17x_3" localSheetId="0">'Aug thru Dec 2023'!$E$98</definedName>
    <definedName name="OSRRefB17x_4" localSheetId="0">'Aug thru Dec 2023'!$F$98</definedName>
    <definedName name="OSRRefB20_0_0x_0" localSheetId="0">'Aug thru Dec 2023'!$B$101:$B$105</definedName>
    <definedName name="OSRRefB20_0_0x_1" localSheetId="0">'Aug thru Dec 2023'!$C$101:$C$105</definedName>
    <definedName name="OSRRefB20_0_0x_2" localSheetId="0">'Aug thru Dec 2023'!$D$101:$D$105</definedName>
    <definedName name="OSRRefB20_0_0x_3" localSheetId="0">'Aug thru Dec 2023'!$E$101:$E$105</definedName>
    <definedName name="OSRRefB20_0_0x_4" localSheetId="0">'Aug thru Dec 2023'!$F$101:$F$105</definedName>
    <definedName name="OSRRefB20_0_1x_0" localSheetId="0">'Aug thru Dec 2023'!$B$107:$B$110</definedName>
    <definedName name="OSRRefB20_0_1x_1" localSheetId="0">'Aug thru Dec 2023'!$C$107:$C$110</definedName>
    <definedName name="OSRRefB20_0_1x_2" localSheetId="0">'Aug thru Dec 2023'!$D$107:$D$110</definedName>
    <definedName name="OSRRefB20_0_1x_3" localSheetId="0">'Aug thru Dec 2023'!$E$107:$E$110</definedName>
    <definedName name="OSRRefB20_0_1x_4" localSheetId="0">'Aug thru Dec 2023'!$F$107:$F$110</definedName>
    <definedName name="OSRRefB20_0_2x_0" localSheetId="0">'Aug thru Dec 2023'!$B$112</definedName>
    <definedName name="OSRRefB20_0_2x_1" localSheetId="0">'Aug thru Dec 2023'!$C$112</definedName>
    <definedName name="OSRRefB20_0_2x_2" localSheetId="0">'Aug thru Dec 2023'!$D$112</definedName>
    <definedName name="OSRRefB20_0_2x_3" localSheetId="0">'Aug thru Dec 2023'!$E$112</definedName>
    <definedName name="OSRRefB20_0_2x_4" localSheetId="0">'Aug thru Dec 2023'!$F$112</definedName>
    <definedName name="OSRRefB20_1_0x_0" localSheetId="0">'Aug thru Dec 2023'!$B$117</definedName>
    <definedName name="OSRRefB20_1_0x_1" localSheetId="0">'Aug thru Dec 2023'!$C$117</definedName>
    <definedName name="OSRRefB20_1_0x_2" localSheetId="0">'Aug thru Dec 2023'!$D$117</definedName>
    <definedName name="OSRRefB20_1_0x_3" localSheetId="0">'Aug thru Dec 2023'!$E$117</definedName>
    <definedName name="OSRRefB20_1_0x_4" localSheetId="0">'Aug thru Dec 2023'!$F$117</definedName>
    <definedName name="OSRRefB21_0x_0" localSheetId="0">'Aug thru Dec 2023'!$B$106,'Aug thru Dec 2023'!$B$111,'Aug thru Dec 2023'!$B$113</definedName>
    <definedName name="OSRRefB21_0x_1" localSheetId="0">'Aug thru Dec 2023'!$C$106,'Aug thru Dec 2023'!$C$111,'Aug thru Dec 2023'!$C$113</definedName>
    <definedName name="OSRRefB21_0x_2" localSheetId="0">'Aug thru Dec 2023'!$D$106,'Aug thru Dec 2023'!$D$111,'Aug thru Dec 2023'!$D$113</definedName>
    <definedName name="OSRRefB21_0x_3" localSheetId="0">'Aug thru Dec 2023'!$E$106,'Aug thru Dec 2023'!$E$111,'Aug thru Dec 2023'!$E$113</definedName>
    <definedName name="OSRRefB21_0x_4" localSheetId="0">'Aug thru Dec 2023'!$F$106,'Aug thru Dec 2023'!$F$111,'Aug thru Dec 2023'!$F$113</definedName>
    <definedName name="OSRRefB21_1x_0" localSheetId="0">'Aug thru Dec 2023'!$B$118</definedName>
    <definedName name="OSRRefB21_1x_1" localSheetId="0">'Aug thru Dec 2023'!$C$118</definedName>
    <definedName name="OSRRefB21_1x_2" localSheetId="0">'Aug thru Dec 2023'!$D$118</definedName>
    <definedName name="OSRRefB21_1x_3" localSheetId="0">'Aug thru Dec 2023'!$E$118</definedName>
    <definedName name="OSRRefB21_1x_4" localSheetId="0">'Aug thru Dec 2023'!$F$118</definedName>
    <definedName name="OSRRefB22x_0" localSheetId="0">'Aug thru Dec 2023'!$B$114,'Aug thru Dec 2023'!$B$119</definedName>
    <definedName name="OSRRefB22x_1" localSheetId="0">'Aug thru Dec 2023'!$C$114,'Aug thru Dec 2023'!$C$119</definedName>
    <definedName name="OSRRefB22x_2" localSheetId="0">'Aug thru Dec 2023'!$D$114,'Aug thru Dec 2023'!$D$119</definedName>
    <definedName name="OSRRefB22x_3" localSheetId="0">'Aug thru Dec 2023'!$E$114,'Aug thru Dec 2023'!$E$119</definedName>
    <definedName name="OSRRefB22x_4" localSheetId="0">'Aug thru Dec 2023'!$F$114,'Aug thru Dec 2023'!$F$119</definedName>
    <definedName name="OSRRefB6_0_0x_0" localSheetId="0">'Aug thru Dec 2023'!$B$6:$B$9</definedName>
    <definedName name="OSRRefB6_0_0x_1" localSheetId="0">'Aug thru Dec 2023'!$C$6:$C$9</definedName>
    <definedName name="OSRRefB6_0_0x_2" localSheetId="0">'Aug thru Dec 2023'!$D$6:$D$9</definedName>
    <definedName name="OSRRefB6_0_0x_3" localSheetId="0">'Aug thru Dec 2023'!$E$6:$E$9</definedName>
    <definedName name="OSRRefB6_0_0x_4" localSheetId="0">'Aug thru Dec 2023'!$F$6:$F$9</definedName>
    <definedName name="OSRRefB6_1_0x_0" localSheetId="0">'Aug thru Dec 2023'!$B$14:$B$15</definedName>
    <definedName name="OSRRefB6_1_0x_1" localSheetId="0">'Aug thru Dec 2023'!$C$14:$C$15</definedName>
    <definedName name="OSRRefB6_1_0x_2" localSheetId="0">'Aug thru Dec 2023'!$D$14:$D$15</definedName>
    <definedName name="OSRRefB6_1_0x_3" localSheetId="0">'Aug thru Dec 2023'!$E$14:$E$15</definedName>
    <definedName name="OSRRefB6_1_0x_4" localSheetId="0">'Aug thru Dec 2023'!$F$14:$F$15</definedName>
    <definedName name="OSRRefB6_2_0x_0" localSheetId="0">'Aug thru Dec 2023'!$B$20:$B$21</definedName>
    <definedName name="OSRRefB6_2_0x_1" localSheetId="0">'Aug thru Dec 2023'!$C$20:$C$21</definedName>
    <definedName name="OSRRefB6_2_0x_2" localSheetId="0">'Aug thru Dec 2023'!$D$20:$D$21</definedName>
    <definedName name="OSRRefB6_2_0x_3" localSheetId="0">'Aug thru Dec 2023'!$E$20:$E$21</definedName>
    <definedName name="OSRRefB6_2_0x_4" localSheetId="0">'Aug thru Dec 2023'!$F$20:$F$21</definedName>
    <definedName name="OSRRefB6_2_1x_0" localSheetId="0">'Aug thru Dec 2023'!$B$23:$B$27</definedName>
    <definedName name="OSRRefB6_2_1x_1" localSheetId="0">'Aug thru Dec 2023'!$C$23:$C$27</definedName>
    <definedName name="OSRRefB6_2_1x_2" localSheetId="0">'Aug thru Dec 2023'!$D$23:$D$27</definedName>
    <definedName name="OSRRefB6_2_1x_3" localSheetId="0">'Aug thru Dec 2023'!$E$23:$E$27</definedName>
    <definedName name="OSRRefB6_2_1x_4" localSheetId="0">'Aug thru Dec 2023'!$F$23:$F$27</definedName>
    <definedName name="OSRRefB6_2_2x_0" localSheetId="0">'Aug thru Dec 2023'!$B$29</definedName>
    <definedName name="OSRRefB6_2_2x_1" localSheetId="0">'Aug thru Dec 2023'!$C$29</definedName>
    <definedName name="OSRRefB6_2_2x_2" localSheetId="0">'Aug thru Dec 2023'!$D$29</definedName>
    <definedName name="OSRRefB6_2_2x_3" localSheetId="0">'Aug thru Dec 2023'!$E$29</definedName>
    <definedName name="OSRRefB6_2_2x_4" localSheetId="0">'Aug thru Dec 2023'!$F$29</definedName>
    <definedName name="OSRRefB6_2_3x_0" localSheetId="0">'Aug thru Dec 2023'!$B$31:$B$33</definedName>
    <definedName name="OSRRefB6_2_3x_1" localSheetId="0">'Aug thru Dec 2023'!$C$31:$C$33</definedName>
    <definedName name="OSRRefB6_2_3x_2" localSheetId="0">'Aug thru Dec 2023'!$D$31:$D$33</definedName>
    <definedName name="OSRRefB6_2_3x_3" localSheetId="0">'Aug thru Dec 2023'!$E$31:$E$33</definedName>
    <definedName name="OSRRefB6_2_3x_4" localSheetId="0">'Aug thru Dec 2023'!$F$31:$F$33</definedName>
    <definedName name="OSRRefB6_3_0x_0" localSheetId="0">'Aug thru Dec 2023'!$B$38:$B$45</definedName>
    <definedName name="OSRRefB6_3_0x_1" localSheetId="0">'Aug thru Dec 2023'!$C$38:$C$45</definedName>
    <definedName name="OSRRefB6_3_0x_2" localSheetId="0">'Aug thru Dec 2023'!$D$38:$D$45</definedName>
    <definedName name="OSRRefB6_3_0x_3" localSheetId="0">'Aug thru Dec 2023'!$E$38:$E$45</definedName>
    <definedName name="OSRRefB6_3_0x_4" localSheetId="0">'Aug thru Dec 2023'!$F$38:$F$45</definedName>
    <definedName name="OSRRefB7_0x_0" localSheetId="0">'Aug thru Dec 2023'!$B$10</definedName>
    <definedName name="OSRRefB7_0x_1" localSheetId="0">'Aug thru Dec 2023'!$C$10</definedName>
    <definedName name="OSRRefB7_0x_2" localSheetId="0">'Aug thru Dec 2023'!$D$10</definedName>
    <definedName name="OSRRefB7_0x_3" localSheetId="0">'Aug thru Dec 2023'!$E$10</definedName>
    <definedName name="OSRRefB7_0x_4" localSheetId="0">'Aug thru Dec 2023'!$F$10</definedName>
    <definedName name="OSRRefB7_1x_0" localSheetId="0">'Aug thru Dec 2023'!$B$16</definedName>
    <definedName name="OSRRefB7_1x_1" localSheetId="0">'Aug thru Dec 2023'!$C$16</definedName>
    <definedName name="OSRRefB7_1x_2" localSheetId="0">'Aug thru Dec 2023'!$D$16</definedName>
    <definedName name="OSRRefB7_1x_3" localSheetId="0">'Aug thru Dec 2023'!$E$16</definedName>
    <definedName name="OSRRefB7_1x_4" localSheetId="0">'Aug thru Dec 2023'!$F$16</definedName>
    <definedName name="OSRRefB7_2x_0" localSheetId="0">'Aug thru Dec 2023'!$B$22,'Aug thru Dec 2023'!$B$28,'Aug thru Dec 2023'!$B$30,'Aug thru Dec 2023'!$B$34</definedName>
    <definedName name="OSRRefB7_2x_1" localSheetId="0">'Aug thru Dec 2023'!$C$22,'Aug thru Dec 2023'!$C$28,'Aug thru Dec 2023'!$C$30,'Aug thru Dec 2023'!$C$34</definedName>
    <definedName name="OSRRefB7_2x_2" localSheetId="0">'Aug thru Dec 2023'!$D$22,'Aug thru Dec 2023'!$D$28,'Aug thru Dec 2023'!$D$30,'Aug thru Dec 2023'!$D$34</definedName>
    <definedName name="OSRRefB7_2x_3" localSheetId="0">'Aug thru Dec 2023'!$E$22,'Aug thru Dec 2023'!$E$28,'Aug thru Dec 2023'!$E$30,'Aug thru Dec 2023'!$E$34</definedName>
    <definedName name="OSRRefB7_2x_4" localSheetId="0">'Aug thru Dec 2023'!$F$22,'Aug thru Dec 2023'!$F$28,'Aug thru Dec 2023'!$F$30,'Aug thru Dec 2023'!$F$34</definedName>
    <definedName name="OSRRefB7_3x_0" localSheetId="0">'Aug thru Dec 2023'!$B$46</definedName>
    <definedName name="OSRRefB7_3x_1" localSheetId="0">'Aug thru Dec 2023'!$C$46</definedName>
    <definedName name="OSRRefB7_3x_2" localSheetId="0">'Aug thru Dec 2023'!$D$46</definedName>
    <definedName name="OSRRefB7_3x_3" localSheetId="0">'Aug thru Dec 2023'!$E$46</definedName>
    <definedName name="OSRRefB7_3x_4" localSheetId="0">'Aug thru Dec 2023'!$F$46</definedName>
    <definedName name="OSRRefB8x_0" localSheetId="0">'Aug thru Dec 2023'!$B$11,'Aug thru Dec 2023'!$B$17,'Aug thru Dec 2023'!$B$35,'Aug thru Dec 2023'!$B$47</definedName>
    <definedName name="OSRRefB8x_1" localSheetId="0">'Aug thru Dec 2023'!$C$11,'Aug thru Dec 2023'!$C$17,'Aug thru Dec 2023'!$C$35,'Aug thru Dec 2023'!$C$47</definedName>
    <definedName name="OSRRefB8x_2" localSheetId="0">'Aug thru Dec 2023'!$D$11,'Aug thru Dec 2023'!$D$17,'Aug thru Dec 2023'!$D$35,'Aug thru Dec 2023'!$D$47</definedName>
    <definedName name="OSRRefB8x_3" localSheetId="0">'Aug thru Dec 2023'!$E$11,'Aug thru Dec 2023'!$E$17,'Aug thru Dec 2023'!$E$35,'Aug thru Dec 2023'!$E$47</definedName>
    <definedName name="OSRRefB8x_4" localSheetId="0">'Aug thru Dec 2023'!$F$11,'Aug thru Dec 2023'!$F$17,'Aug thru Dec 2023'!$F$35,'Aug thru Dec 2023'!$F$47</definedName>
    <definedName name="_xlnm.Print_Area" localSheetId="1">'Staff Hrs'!$A$1:$T$232</definedName>
    <definedName name="_xlnm.Print_Titles" localSheetId="2">'POS Hours'!$1:$1</definedName>
    <definedName name="_xlnm.Print_Titles" localSheetId="1">'Staff Hrs'!$1:$1</definedName>
  </definedNames>
  <calcPr calcId="162913"/>
  <pivotCaches>
    <pivotCache cacheId="5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2" i="1" l="1"/>
  <c r="A119" i="1"/>
  <c r="F117" i="1"/>
  <c r="F118" i="1" s="1"/>
  <c r="F119" i="1" s="1"/>
  <c r="E117" i="1"/>
  <c r="E118" i="1" s="1"/>
  <c r="E119" i="1" s="1"/>
  <c r="D117" i="1"/>
  <c r="D118" i="1" s="1"/>
  <c r="D119" i="1" s="1"/>
  <c r="C117" i="1"/>
  <c r="C118" i="1" s="1"/>
  <c r="C119" i="1" s="1"/>
  <c r="B117" i="1"/>
  <c r="B118" i="1" s="1"/>
  <c r="A117" i="1"/>
  <c r="A116" i="1"/>
  <c r="A114" i="1"/>
  <c r="F112" i="1"/>
  <c r="F113" i="1" s="1"/>
  <c r="E112" i="1"/>
  <c r="E113" i="1" s="1"/>
  <c r="D112" i="1"/>
  <c r="D113" i="1" s="1"/>
  <c r="C112" i="1"/>
  <c r="C113" i="1" s="1"/>
  <c r="B112" i="1"/>
  <c r="B113" i="1" s="1"/>
  <c r="A112" i="1"/>
  <c r="F110" i="1"/>
  <c r="E110" i="1"/>
  <c r="D110" i="1"/>
  <c r="C110" i="1"/>
  <c r="B110" i="1"/>
  <c r="A110" i="1"/>
  <c r="F109" i="1"/>
  <c r="E109" i="1"/>
  <c r="D109" i="1"/>
  <c r="C109" i="1"/>
  <c r="B109" i="1"/>
  <c r="A109" i="1"/>
  <c r="F108" i="1"/>
  <c r="E108" i="1"/>
  <c r="D108" i="1"/>
  <c r="C108" i="1"/>
  <c r="B108" i="1"/>
  <c r="A108" i="1"/>
  <c r="F107" i="1"/>
  <c r="E107" i="1"/>
  <c r="D107" i="1"/>
  <c r="C107" i="1"/>
  <c r="B107" i="1"/>
  <c r="A107" i="1"/>
  <c r="F105" i="1"/>
  <c r="E105" i="1"/>
  <c r="D105" i="1"/>
  <c r="C105" i="1"/>
  <c r="B105" i="1"/>
  <c r="A105" i="1"/>
  <c r="F104" i="1"/>
  <c r="E104" i="1"/>
  <c r="D104" i="1"/>
  <c r="C104" i="1"/>
  <c r="B104" i="1"/>
  <c r="A104" i="1"/>
  <c r="F103" i="1"/>
  <c r="E103" i="1"/>
  <c r="D103" i="1"/>
  <c r="C103" i="1"/>
  <c r="B103" i="1"/>
  <c r="A103" i="1"/>
  <c r="F102" i="1"/>
  <c r="E102" i="1"/>
  <c r="D102" i="1"/>
  <c r="C102" i="1"/>
  <c r="B102" i="1"/>
  <c r="A102" i="1"/>
  <c r="F101" i="1"/>
  <c r="E101" i="1"/>
  <c r="D101" i="1"/>
  <c r="C101" i="1"/>
  <c r="B101" i="1"/>
  <c r="A101" i="1"/>
  <c r="A100" i="1"/>
  <c r="A96" i="1"/>
  <c r="F94" i="1"/>
  <c r="E94" i="1"/>
  <c r="D94" i="1"/>
  <c r="C94" i="1"/>
  <c r="B94" i="1"/>
  <c r="A94" i="1"/>
  <c r="F93" i="1"/>
  <c r="E93" i="1"/>
  <c r="D93" i="1"/>
  <c r="C93" i="1"/>
  <c r="B93" i="1"/>
  <c r="A93" i="1"/>
  <c r="F92" i="1"/>
  <c r="D92" i="1"/>
  <c r="C92" i="1"/>
  <c r="B92" i="1"/>
  <c r="A92" i="1"/>
  <c r="F91" i="1"/>
  <c r="D91" i="1"/>
  <c r="C91" i="1"/>
  <c r="B91" i="1"/>
  <c r="A91" i="1"/>
  <c r="F90" i="1"/>
  <c r="D90" i="1"/>
  <c r="C90" i="1"/>
  <c r="B90" i="1"/>
  <c r="A90" i="1"/>
  <c r="F89" i="1"/>
  <c r="E89" i="1"/>
  <c r="D89" i="1"/>
  <c r="C89" i="1"/>
  <c r="B89" i="1"/>
  <c r="A89" i="1"/>
  <c r="F88" i="1"/>
  <c r="D88" i="1"/>
  <c r="C88" i="1"/>
  <c r="B88" i="1"/>
  <c r="A88" i="1"/>
  <c r="F87" i="1"/>
  <c r="E87" i="1"/>
  <c r="D87" i="1"/>
  <c r="C87" i="1"/>
  <c r="B87" i="1"/>
  <c r="A87" i="1"/>
  <c r="F86" i="1"/>
  <c r="D86" i="1"/>
  <c r="C86" i="1"/>
  <c r="B86" i="1"/>
  <c r="A86" i="1"/>
  <c r="A85" i="1"/>
  <c r="A83" i="1"/>
  <c r="F81" i="1"/>
  <c r="E81" i="1"/>
  <c r="D81" i="1"/>
  <c r="C81" i="1"/>
  <c r="B81" i="1"/>
  <c r="A81" i="1"/>
  <c r="F80" i="1"/>
  <c r="E80" i="1"/>
  <c r="D80" i="1"/>
  <c r="C80" i="1"/>
  <c r="B80" i="1"/>
  <c r="A80" i="1"/>
  <c r="F79" i="1"/>
  <c r="E79" i="1"/>
  <c r="D79" i="1"/>
  <c r="C79" i="1"/>
  <c r="B79" i="1"/>
  <c r="A79" i="1"/>
  <c r="F78" i="1"/>
  <c r="E78" i="1"/>
  <c r="D78" i="1"/>
  <c r="C78" i="1"/>
  <c r="B78" i="1"/>
  <c r="A78" i="1"/>
  <c r="F77" i="1"/>
  <c r="E77" i="1"/>
  <c r="D77" i="1"/>
  <c r="C77" i="1"/>
  <c r="B77" i="1"/>
  <c r="A77" i="1"/>
  <c r="F76" i="1"/>
  <c r="E76" i="1"/>
  <c r="D76" i="1"/>
  <c r="C76" i="1"/>
  <c r="B76" i="1"/>
  <c r="A76" i="1"/>
  <c r="F75" i="1"/>
  <c r="E75" i="1"/>
  <c r="D75" i="1"/>
  <c r="C75" i="1"/>
  <c r="B75" i="1"/>
  <c r="A75" i="1"/>
  <c r="A74" i="1"/>
  <c r="A72" i="1"/>
  <c r="F70" i="1"/>
  <c r="E70" i="1"/>
  <c r="D70" i="1"/>
  <c r="C70" i="1"/>
  <c r="B70" i="1"/>
  <c r="A70" i="1"/>
  <c r="F69" i="1"/>
  <c r="E69" i="1"/>
  <c r="D69" i="1"/>
  <c r="C69" i="1"/>
  <c r="B69" i="1"/>
  <c r="A69" i="1"/>
  <c r="F68" i="1"/>
  <c r="E68" i="1"/>
  <c r="D68" i="1"/>
  <c r="C68" i="1"/>
  <c r="B68" i="1"/>
  <c r="A68" i="1"/>
  <c r="F67" i="1"/>
  <c r="E67" i="1"/>
  <c r="D67" i="1"/>
  <c r="C67" i="1"/>
  <c r="B67" i="1"/>
  <c r="A67" i="1"/>
  <c r="F66" i="1"/>
  <c r="E66" i="1"/>
  <c r="D66" i="1"/>
  <c r="C66" i="1"/>
  <c r="B66" i="1"/>
  <c r="A66" i="1"/>
  <c r="F64" i="1"/>
  <c r="E64" i="1"/>
  <c r="D64" i="1"/>
  <c r="C64" i="1"/>
  <c r="B64" i="1"/>
  <c r="A64" i="1"/>
  <c r="F63" i="1"/>
  <c r="E63" i="1"/>
  <c r="D63" i="1"/>
  <c r="C63" i="1"/>
  <c r="B63" i="1"/>
  <c r="A63" i="1"/>
  <c r="F62" i="1"/>
  <c r="E62" i="1"/>
  <c r="D62" i="1"/>
  <c r="C62" i="1"/>
  <c r="B62" i="1"/>
  <c r="A62" i="1"/>
  <c r="F61" i="1"/>
  <c r="E61" i="1"/>
  <c r="D61" i="1"/>
  <c r="C61" i="1"/>
  <c r="B61" i="1"/>
  <c r="A61" i="1"/>
  <c r="F60" i="1"/>
  <c r="E60" i="1"/>
  <c r="D60" i="1"/>
  <c r="C60" i="1"/>
  <c r="B60" i="1"/>
  <c r="A60" i="1"/>
  <c r="F59" i="1"/>
  <c r="E59" i="1"/>
  <c r="D59" i="1"/>
  <c r="C59" i="1"/>
  <c r="B59" i="1"/>
  <c r="A59" i="1"/>
  <c r="F58" i="1"/>
  <c r="E58" i="1"/>
  <c r="D58" i="1"/>
  <c r="C58" i="1"/>
  <c r="B58" i="1"/>
  <c r="A58" i="1"/>
  <c r="A57" i="1"/>
  <c r="A55" i="1"/>
  <c r="F53" i="1"/>
  <c r="E53" i="1"/>
  <c r="D53" i="1"/>
  <c r="C53" i="1"/>
  <c r="B53" i="1"/>
  <c r="A53" i="1"/>
  <c r="F52" i="1"/>
  <c r="E52" i="1"/>
  <c r="D52" i="1"/>
  <c r="C52" i="1"/>
  <c r="B52" i="1"/>
  <c r="A52" i="1"/>
  <c r="A51" i="1"/>
  <c r="A47" i="1"/>
  <c r="F45" i="1"/>
  <c r="E45" i="1"/>
  <c r="D45" i="1"/>
  <c r="C45" i="1"/>
  <c r="B45" i="1"/>
  <c r="A45" i="1"/>
  <c r="F44" i="1"/>
  <c r="E44" i="1"/>
  <c r="D44" i="1"/>
  <c r="C44" i="1"/>
  <c r="B44" i="1"/>
  <c r="A44" i="1"/>
  <c r="F43" i="1"/>
  <c r="E43" i="1"/>
  <c r="D43" i="1"/>
  <c r="C43" i="1"/>
  <c r="B43" i="1"/>
  <c r="A43" i="1"/>
  <c r="F42" i="1"/>
  <c r="E42" i="1"/>
  <c r="D42" i="1"/>
  <c r="C42" i="1"/>
  <c r="B42" i="1"/>
  <c r="A42" i="1"/>
  <c r="F41" i="1"/>
  <c r="E41" i="1"/>
  <c r="D41" i="1"/>
  <c r="C41" i="1"/>
  <c r="B41" i="1"/>
  <c r="A41" i="1"/>
  <c r="F40" i="1"/>
  <c r="E40" i="1"/>
  <c r="D40" i="1"/>
  <c r="C40" i="1"/>
  <c r="B40" i="1"/>
  <c r="A40" i="1"/>
  <c r="F39" i="1"/>
  <c r="E39" i="1"/>
  <c r="D39" i="1"/>
  <c r="C39" i="1"/>
  <c r="B39" i="1"/>
  <c r="A39" i="1"/>
  <c r="F38" i="1"/>
  <c r="E38" i="1"/>
  <c r="D38" i="1"/>
  <c r="C38" i="1"/>
  <c r="B38" i="1"/>
  <c r="A38" i="1"/>
  <c r="A37" i="1"/>
  <c r="A35" i="1"/>
  <c r="F33" i="1"/>
  <c r="E33" i="1"/>
  <c r="D33" i="1"/>
  <c r="C33" i="1"/>
  <c r="B33" i="1"/>
  <c r="A33" i="1"/>
  <c r="F32" i="1"/>
  <c r="E32" i="1"/>
  <c r="D32" i="1"/>
  <c r="C32" i="1"/>
  <c r="B32" i="1"/>
  <c r="A32" i="1"/>
  <c r="F31" i="1"/>
  <c r="E31" i="1"/>
  <c r="D31" i="1"/>
  <c r="C31" i="1"/>
  <c r="B31" i="1"/>
  <c r="A31" i="1"/>
  <c r="D30" i="1"/>
  <c r="F29" i="1"/>
  <c r="F30" i="1" s="1"/>
  <c r="E29" i="1"/>
  <c r="E30" i="1" s="1"/>
  <c r="D29" i="1"/>
  <c r="C29" i="1"/>
  <c r="C30" i="1" s="1"/>
  <c r="B29" i="1"/>
  <c r="B30" i="1" s="1"/>
  <c r="A29" i="1"/>
  <c r="F27" i="1"/>
  <c r="E27" i="1"/>
  <c r="D27" i="1"/>
  <c r="C27" i="1"/>
  <c r="B27" i="1"/>
  <c r="A27" i="1"/>
  <c r="F26" i="1"/>
  <c r="E26" i="1"/>
  <c r="D26" i="1"/>
  <c r="C26" i="1"/>
  <c r="B26" i="1"/>
  <c r="A26" i="1"/>
  <c r="F25" i="1"/>
  <c r="E25" i="1"/>
  <c r="D25" i="1"/>
  <c r="C25" i="1"/>
  <c r="B25" i="1"/>
  <c r="A25" i="1"/>
  <c r="F24" i="1"/>
  <c r="E24" i="1"/>
  <c r="D24" i="1"/>
  <c r="C24" i="1"/>
  <c r="B24" i="1"/>
  <c r="A24" i="1"/>
  <c r="F23" i="1"/>
  <c r="E23" i="1"/>
  <c r="D23" i="1"/>
  <c r="C23" i="1"/>
  <c r="B23" i="1"/>
  <c r="A23" i="1"/>
  <c r="F21" i="1"/>
  <c r="E21" i="1"/>
  <c r="D21" i="1"/>
  <c r="C21" i="1"/>
  <c r="B21" i="1"/>
  <c r="A21" i="1"/>
  <c r="F20" i="1"/>
  <c r="E20" i="1"/>
  <c r="D20" i="1"/>
  <c r="C20" i="1"/>
  <c r="B20" i="1"/>
  <c r="A20" i="1"/>
  <c r="A19" i="1"/>
  <c r="A17" i="1"/>
  <c r="F15" i="1"/>
  <c r="E15" i="1"/>
  <c r="D15" i="1"/>
  <c r="C15" i="1"/>
  <c r="B15" i="1"/>
  <c r="A15" i="1"/>
  <c r="F14" i="1"/>
  <c r="E14" i="1"/>
  <c r="E16" i="1" s="1"/>
  <c r="E17" i="1" s="1"/>
  <c r="D14" i="1"/>
  <c r="C14" i="1"/>
  <c r="B14" i="1"/>
  <c r="A14" i="1"/>
  <c r="A13" i="1"/>
  <c r="A11" i="1"/>
  <c r="F9" i="1"/>
  <c r="E9" i="1"/>
  <c r="D9" i="1"/>
  <c r="C9" i="1"/>
  <c r="B9" i="1"/>
  <c r="A9" i="1"/>
  <c r="F8" i="1"/>
  <c r="E8" i="1"/>
  <c r="D8" i="1"/>
  <c r="C8" i="1"/>
  <c r="B8" i="1"/>
  <c r="A8" i="1"/>
  <c r="F7" i="1"/>
  <c r="E7" i="1"/>
  <c r="D7" i="1"/>
  <c r="C7" i="1"/>
  <c r="B7" i="1"/>
  <c r="A7" i="1"/>
  <c r="F6" i="1"/>
  <c r="E6" i="1"/>
  <c r="D6" i="1"/>
  <c r="C6" i="1"/>
  <c r="B6" i="1"/>
  <c r="A6" i="1"/>
  <c r="A5" i="1"/>
  <c r="G108" i="1" l="1"/>
  <c r="B10" i="1"/>
  <c r="B11" i="1" s="1"/>
  <c r="B16" i="1"/>
  <c r="G20" i="1"/>
  <c r="D22" i="1"/>
  <c r="G78" i="1"/>
  <c r="D34" i="1"/>
  <c r="G9" i="1"/>
  <c r="F16" i="1"/>
  <c r="F17" i="1" s="1"/>
  <c r="F22" i="1"/>
  <c r="G33" i="1"/>
  <c r="G80" i="1"/>
  <c r="C10" i="1"/>
  <c r="C11" i="1" s="1"/>
  <c r="E22" i="1"/>
  <c r="G26" i="1"/>
  <c r="C34" i="1"/>
  <c r="D54" i="1"/>
  <c r="D55" i="1" s="1"/>
  <c r="F65" i="1"/>
  <c r="F72" i="1" s="1"/>
  <c r="D71" i="1"/>
  <c r="F71" i="1"/>
  <c r="D82" i="1"/>
  <c r="D83" i="1" s="1"/>
  <c r="G94" i="1"/>
  <c r="B106" i="1"/>
  <c r="D10" i="1"/>
  <c r="D11" i="1" s="1"/>
  <c r="G8" i="1"/>
  <c r="E71" i="1"/>
  <c r="E72" i="1" s="1"/>
  <c r="G70" i="1"/>
  <c r="E82" i="1"/>
  <c r="E83" i="1" s="1"/>
  <c r="G92" i="1"/>
  <c r="E106" i="1"/>
  <c r="E111" i="1"/>
  <c r="G43" i="1"/>
  <c r="C54" i="1"/>
  <c r="C55" i="1" s="1"/>
  <c r="F10" i="1"/>
  <c r="F11" i="1" s="1"/>
  <c r="G21" i="1"/>
  <c r="G68" i="1"/>
  <c r="E65" i="1"/>
  <c r="C111" i="1"/>
  <c r="C22" i="1"/>
  <c r="B46" i="1"/>
  <c r="B47" i="1" s="1"/>
  <c r="B54" i="1"/>
  <c r="B55" i="1" s="1"/>
  <c r="F106" i="1"/>
  <c r="D111" i="1"/>
  <c r="G15" i="1"/>
  <c r="B28" i="1"/>
  <c r="F46" i="1"/>
  <c r="F47" i="1" s="1"/>
  <c r="C16" i="1"/>
  <c r="C17" i="1" s="1"/>
  <c r="G23" i="1"/>
  <c r="G32" i="1"/>
  <c r="E46" i="1"/>
  <c r="E47" i="1" s="1"/>
  <c r="G45" i="1"/>
  <c r="G59" i="1"/>
  <c r="G69" i="1"/>
  <c r="F82" i="1"/>
  <c r="F83" i="1" s="1"/>
  <c r="G77" i="1"/>
  <c r="B95" i="1"/>
  <c r="B96" i="1" s="1"/>
  <c r="C106" i="1"/>
  <c r="G105" i="1"/>
  <c r="E10" i="1"/>
  <c r="E11" i="1" s="1"/>
  <c r="D16" i="1"/>
  <c r="D17" i="1" s="1"/>
  <c r="G53" i="1"/>
  <c r="C95" i="1"/>
  <c r="C96" i="1" s="1"/>
  <c r="B22" i="1"/>
  <c r="B35" i="1" s="1"/>
  <c r="E28" i="1"/>
  <c r="E35" i="1" s="1"/>
  <c r="F34" i="1"/>
  <c r="F35" i="1" s="1"/>
  <c r="B34" i="1"/>
  <c r="G41" i="1"/>
  <c r="G44" i="1"/>
  <c r="G58" i="1"/>
  <c r="G64" i="1"/>
  <c r="G67" i="1"/>
  <c r="G76" i="1"/>
  <c r="G91" i="1"/>
  <c r="G104" i="1"/>
  <c r="F28" i="1"/>
  <c r="G40" i="1"/>
  <c r="E54" i="1"/>
  <c r="E55" i="1" s="1"/>
  <c r="C65" i="1"/>
  <c r="G63" i="1"/>
  <c r="G90" i="1"/>
  <c r="G93" i="1"/>
  <c r="G110" i="1"/>
  <c r="G117" i="1"/>
  <c r="G25" i="1"/>
  <c r="D28" i="1"/>
  <c r="D46" i="1"/>
  <c r="D47" i="1" s="1"/>
  <c r="E34" i="1"/>
  <c r="G42" i="1"/>
  <c r="E95" i="1"/>
  <c r="E96" i="1" s="1"/>
  <c r="G7" i="1"/>
  <c r="G27" i="1"/>
  <c r="C46" i="1"/>
  <c r="C47" i="1" s="1"/>
  <c r="F54" i="1"/>
  <c r="F55" i="1" s="1"/>
  <c r="D65" i="1"/>
  <c r="D72" i="1" s="1"/>
  <c r="G62" i="1"/>
  <c r="G66" i="1"/>
  <c r="G75" i="1"/>
  <c r="G81" i="1"/>
  <c r="G89" i="1"/>
  <c r="G101" i="1"/>
  <c r="G103" i="1"/>
  <c r="F111" i="1"/>
  <c r="G61" i="1"/>
  <c r="C71" i="1"/>
  <c r="C82" i="1"/>
  <c r="C83" i="1" s="1"/>
  <c r="G88" i="1"/>
  <c r="G109" i="1"/>
  <c r="G60" i="1"/>
  <c r="G79" i="1"/>
  <c r="G87" i="1"/>
  <c r="F95" i="1"/>
  <c r="F96" i="1" s="1"/>
  <c r="G102" i="1"/>
  <c r="D106" i="1"/>
  <c r="D114" i="1" s="1"/>
  <c r="B111" i="1"/>
  <c r="B17" i="1"/>
  <c r="G113" i="1"/>
  <c r="G30" i="1"/>
  <c r="G118" i="1"/>
  <c r="B119" i="1"/>
  <c r="G119" i="1" s="1"/>
  <c r="D95" i="1"/>
  <c r="D96" i="1" s="1"/>
  <c r="G107" i="1"/>
  <c r="G6" i="1"/>
  <c r="C28" i="1"/>
  <c r="G31" i="1"/>
  <c r="B65" i="1"/>
  <c r="B82" i="1"/>
  <c r="G24" i="1"/>
  <c r="G52" i="1"/>
  <c r="B71" i="1"/>
  <c r="G112" i="1"/>
  <c r="G14" i="1"/>
  <c r="G39" i="1"/>
  <c r="G29" i="1"/>
  <c r="G38" i="1"/>
  <c r="G86" i="1"/>
  <c r="E114" i="1" l="1"/>
  <c r="B114" i="1"/>
  <c r="D35" i="1"/>
  <c r="G111" i="1"/>
  <c r="C35" i="1"/>
  <c r="G16" i="1"/>
  <c r="F98" i="1"/>
  <c r="G22" i="1"/>
  <c r="C114" i="1"/>
  <c r="G10" i="1"/>
  <c r="G11" i="1"/>
  <c r="G17" i="1"/>
  <c r="G71" i="1"/>
  <c r="G96" i="1"/>
  <c r="G54" i="1"/>
  <c r="G34" i="1"/>
  <c r="F114" i="1"/>
  <c r="D98" i="1"/>
  <c r="G95" i="1"/>
  <c r="C72" i="1"/>
  <c r="C98" i="1" s="1"/>
  <c r="E98" i="1"/>
  <c r="E121" i="1" s="1"/>
  <c r="E124" i="1" s="1"/>
  <c r="G106" i="1"/>
  <c r="G46" i="1"/>
  <c r="G28" i="1"/>
  <c r="G47" i="1"/>
  <c r="G65" i="1"/>
  <c r="B72" i="1"/>
  <c r="G55" i="1"/>
  <c r="G82" i="1"/>
  <c r="B83" i="1"/>
  <c r="G83" i="1" s="1"/>
  <c r="F121" i="1" l="1"/>
  <c r="F124" i="1" s="1"/>
  <c r="G35" i="1"/>
  <c r="D121" i="1"/>
  <c r="D124" i="1" s="1"/>
  <c r="C121" i="1"/>
  <c r="C124" i="1" s="1"/>
  <c r="G114" i="1"/>
  <c r="G72" i="1"/>
  <c r="B98" i="1"/>
  <c r="G98" i="1" l="1"/>
  <c r="B121" i="1"/>
  <c r="B124" i="1" s="1"/>
  <c r="G124" i="1" s="1"/>
  <c r="G121" i="1" l="1"/>
</calcChain>
</file>

<file path=xl/sharedStrings.xml><?xml version="1.0" encoding="utf-8"?>
<sst xmlns="http://schemas.openxmlformats.org/spreadsheetml/2006/main" count="5118" uniqueCount="763">
  <si>
    <t>TX Fort Bend Cty Jail</t>
  </si>
  <si>
    <t>Monthly Trended Income Statement</t>
  </si>
  <si>
    <t>ACT</t>
  </si>
  <si>
    <t>YTD Total</t>
  </si>
  <si>
    <t>Salaries &amp; Wages</t>
  </si>
  <si>
    <t>Contract Labor</t>
  </si>
  <si>
    <t>Benefits Expense</t>
  </si>
  <si>
    <t>Employee Expense</t>
  </si>
  <si>
    <t>Incentive Pay</t>
  </si>
  <si>
    <t>Payroll Taxes</t>
  </si>
  <si>
    <t>Travel &amp; Other</t>
  </si>
  <si>
    <t>Medical Services</t>
  </si>
  <si>
    <t>On-Site Professional Fees</t>
  </si>
  <si>
    <t>Pharmacy Expense</t>
  </si>
  <si>
    <t>Pharmacy Returns</t>
  </si>
  <si>
    <t>Other On-Site Medical Expense</t>
  </si>
  <si>
    <t>Offsite Healthcare Expense</t>
  </si>
  <si>
    <t>Total Medical Services and Supplies</t>
  </si>
  <si>
    <t>Administrative Expense</t>
  </si>
  <si>
    <t>Facility Expense</t>
  </si>
  <si>
    <t>Other Operating Expense</t>
  </si>
  <si>
    <t>Pass Through Expenses</t>
  </si>
  <si>
    <t>Total Operating Expenses</t>
  </si>
  <si>
    <t>Total Budgeted Operating Expenses</t>
  </si>
  <si>
    <t>Amount Over/(Under) Budget</t>
  </si>
  <si>
    <t>RegionName</t>
  </si>
  <si>
    <t>DepartmentName</t>
  </si>
  <si>
    <t>ProviderName</t>
  </si>
  <si>
    <t>ApptId</t>
  </si>
  <si>
    <t>FDOS</t>
  </si>
  <si>
    <t>TDOS</t>
  </si>
  <si>
    <t>ServiceDays</t>
  </si>
  <si>
    <t>ReceivedDate</t>
  </si>
  <si>
    <t>PayDate</t>
  </si>
  <si>
    <t>DaysToPay</t>
  </si>
  <si>
    <t>PayStartDate</t>
  </si>
  <si>
    <t>PayEndDate</t>
  </si>
  <si>
    <t>CPTCode</t>
  </si>
  <si>
    <t>CPTCodeDesc</t>
  </si>
  <si>
    <t>TreatmentTypeName</t>
  </si>
  <si>
    <t>SpecialityName</t>
  </si>
  <si>
    <t>Charge</t>
  </si>
  <si>
    <t>Ineligible</t>
  </si>
  <si>
    <t>Discount</t>
  </si>
  <si>
    <t>Paid</t>
  </si>
  <si>
    <t>DiscPercent</t>
  </si>
  <si>
    <t>ClaimStatus</t>
  </si>
  <si>
    <t>ClaimNumber</t>
  </si>
  <si>
    <t>DCN_TIFF</t>
  </si>
  <si>
    <t>TPA</t>
  </si>
  <si>
    <t>ICD_Code</t>
  </si>
  <si>
    <t>ICD_Description</t>
  </si>
  <si>
    <t>TypeOfBill</t>
  </si>
  <si>
    <t>BillingDrg</t>
  </si>
  <si>
    <t>ClaimType</t>
  </si>
  <si>
    <t>PlaceOfService</t>
  </si>
  <si>
    <t>Match</t>
  </si>
  <si>
    <t>Jails</t>
  </si>
  <si>
    <t>Fort Bend County Jail   (0131)</t>
  </si>
  <si>
    <t>CLEAR LAKE PRIMARY CARE PLLC</t>
  </si>
  <si>
    <t>NURSING FAC CARE SUBSEQ</t>
  </si>
  <si>
    <t>EMERGENCY ROOM</t>
  </si>
  <si>
    <t>Emergency Medicine</t>
  </si>
  <si>
    <t>HCS120231030274043</t>
  </si>
  <si>
    <t>HCS</t>
  </si>
  <si>
    <t>R47.1</t>
  </si>
  <si>
    <t>Dysarthria and anarthria</t>
  </si>
  <si>
    <t>H</t>
  </si>
  <si>
    <t>NURSING FAC DISCHARGE DAY</t>
  </si>
  <si>
    <t>NURSING FACILITY CARE INIT</t>
  </si>
  <si>
    <t>HCS120231031255046</t>
  </si>
  <si>
    <t>SUBSEQUENT HOSPITAL CARE</t>
  </si>
  <si>
    <t>HCS120231206251013</t>
  </si>
  <si>
    <t>HOSPITAL DISCHARGE DAY</t>
  </si>
  <si>
    <t>INITIAL HOSPITAL CARE</t>
  </si>
  <si>
    <t>HCS120231206251012</t>
  </si>
  <si>
    <t>COMPLETE DERMATOLOGY</t>
  </si>
  <si>
    <t>OFFICE/OUTPATIENT VISIT EST</t>
  </si>
  <si>
    <t>OFFICE VISITS</t>
  </si>
  <si>
    <t>Dermatology</t>
  </si>
  <si>
    <t>R21</t>
  </si>
  <si>
    <t>Rash and other nonspecific skin eruption</t>
  </si>
  <si>
    <t>FMR INC</t>
  </si>
  <si>
    <t>A0427</t>
  </si>
  <si>
    <t>AMBULANCE SERVICE, ADVANCED LIFE SUPPORT</t>
  </si>
  <si>
    <t>HE20231026017032</t>
  </si>
  <si>
    <t>A41.9</t>
  </si>
  <si>
    <t>Sepsis, unspecified organism</t>
  </si>
  <si>
    <t>A0425</t>
  </si>
  <si>
    <t>GROUND MILEAGE, PER STATUTE MILE</t>
  </si>
  <si>
    <t>GREATER HOUSTON ANESTHESIOLOGY PA</t>
  </si>
  <si>
    <t>ONE DAY SURGERY</t>
  </si>
  <si>
    <t>Urology</t>
  </si>
  <si>
    <t>HCS120231018262017</t>
  </si>
  <si>
    <t>N28.89</t>
  </si>
  <si>
    <t>Other specified disorders of kidney and ureter</t>
  </si>
  <si>
    <t>HOUSTON EYE ASSOCIATES</t>
  </si>
  <si>
    <t>EYE EXAM ESTABLISH PATIENT</t>
  </si>
  <si>
    <t>Ophthalmology</t>
  </si>
  <si>
    <t>HE20230915021188</t>
  </si>
  <si>
    <t>H49.11</t>
  </si>
  <si>
    <t>Fourth [trochlear] nerve palsy, right eye</t>
  </si>
  <si>
    <t>DETERMINE REFRACTIVE STATE</t>
  </si>
  <si>
    <t>SPECIAL EYE EVALUATION</t>
  </si>
  <si>
    <t>EYE EXAM NEW PATIENT</t>
  </si>
  <si>
    <t>HE20230927018049</t>
  </si>
  <si>
    <t>H40.1134</t>
  </si>
  <si>
    <t>Primary open-angle glaucoma, bilateral, indeterminate stage</t>
  </si>
  <si>
    <t>HE20231006021102</t>
  </si>
  <si>
    <t>R51.9</t>
  </si>
  <si>
    <t>HOUSTON RADIOLOGY ASSOCIATED</t>
  </si>
  <si>
    <t>X-RAY EXAM CHEST 1 VIEW</t>
  </si>
  <si>
    <t>HCS120231204255011</t>
  </si>
  <si>
    <t>I10</t>
  </si>
  <si>
    <t>Essential (primary) hypertension</t>
  </si>
  <si>
    <t>EXTREMITY STUDY</t>
  </si>
  <si>
    <t>HCS120231204255013</t>
  </si>
  <si>
    <t>M79.604</t>
  </si>
  <si>
    <t>Pain in right leg</t>
  </si>
  <si>
    <t>CT HEAD/BRAIN W/O DYE</t>
  </si>
  <si>
    <t>HCS120231204255010</t>
  </si>
  <si>
    <t>ER Evaluation</t>
  </si>
  <si>
    <t>HCS120231011256006</t>
  </si>
  <si>
    <t>R53.1</t>
  </si>
  <si>
    <t>Weakness</t>
  </si>
  <si>
    <t>HCS120231204255012</t>
  </si>
  <si>
    <t>S09.90XA</t>
  </si>
  <si>
    <t>Unspecified injury of head, initial encounter</t>
  </si>
  <si>
    <t>X-RAY EXAM OF KNEE 3</t>
  </si>
  <si>
    <t>HCS120231204255009</t>
  </si>
  <si>
    <t>M25.561</t>
  </si>
  <si>
    <t>Pain in right knee</t>
  </si>
  <si>
    <t>JAMES KONG PC</t>
  </si>
  <si>
    <t>EYE EXAM&amp;TX ESTAB PT 1/&gt;VST</t>
  </si>
  <si>
    <t>Optometry</t>
  </si>
  <si>
    <t>H52.13</t>
  </si>
  <si>
    <t>Myopia, bilateral</t>
  </si>
  <si>
    <t>EYE EXAM WITH PHOTOS</t>
  </si>
  <si>
    <t>H52.02</t>
  </si>
  <si>
    <t>Hypermetropia, left eye</t>
  </si>
  <si>
    <t>KIDNEY HYPERTENSION CONSULTANTS</t>
  </si>
  <si>
    <t>HE20231116036023</t>
  </si>
  <si>
    <t>E87.0</t>
  </si>
  <si>
    <t>Hyperosmolality and hypernatremia</t>
  </si>
  <si>
    <t>HE20231116036024</t>
  </si>
  <si>
    <t>HE20231116036025</t>
  </si>
  <si>
    <t>HE20231116036026</t>
  </si>
  <si>
    <t>MEMORIAL HERMANN MEDICAL GROUP</t>
  </si>
  <si>
    <t>INPATIENT HOSPITALIZATION</t>
  </si>
  <si>
    <t>Critical Care Medicine</t>
  </si>
  <si>
    <t>C64.1</t>
  </si>
  <si>
    <t>Malignant neoplasm of right kidney, except renal pelvis</t>
  </si>
  <si>
    <t>N39.0</t>
  </si>
  <si>
    <t>Urinary tract infection, site not specified</t>
  </si>
  <si>
    <t>METHODIST HEALTH CENTER-SUGARLAND</t>
  </si>
  <si>
    <t>EMERGENCY DEPT VISIT</t>
  </si>
  <si>
    <t>HCS120231127293028</t>
  </si>
  <si>
    <t>IU</t>
  </si>
  <si>
    <t>ELECTROCARDIOGRAM TRACING</t>
  </si>
  <si>
    <t>HCS120230925278006</t>
  </si>
  <si>
    <t>R10.9</t>
  </si>
  <si>
    <t>Unspecified abdominal pain</t>
  </si>
  <si>
    <t>HCS120230911287040</t>
  </si>
  <si>
    <t>M86.632</t>
  </si>
  <si>
    <t>Other chronic osteomyelitis, left radius and ulna</t>
  </si>
  <si>
    <t>METHODIST PATHOLOGY ASSOC PLLC</t>
  </si>
  <si>
    <t>COMPREHEN METABOLIC PANEL</t>
  </si>
  <si>
    <t>HCS120231204261002</t>
  </si>
  <si>
    <t>L03.115</t>
  </si>
  <si>
    <t>Cellulitis of right lower limb</t>
  </si>
  <si>
    <t>ASSAY OF LACTIC ACID</t>
  </si>
  <si>
    <t>COMPLETE CBC W/AUTO DIFF WBC</t>
  </si>
  <si>
    <t>URINALYSIS AUTO W/SCOPE</t>
  </si>
  <si>
    <t>HCS120230926259027</t>
  </si>
  <si>
    <t>HCS120230926259026</t>
  </si>
  <si>
    <t>CHORIONIC GONADOTROPIN ASSAY</t>
  </si>
  <si>
    <t>ASSAY OF TROPONIN QUANT</t>
  </si>
  <si>
    <t>DRUG TEST PRSMV CHEM ANLYZR</t>
  </si>
  <si>
    <t>HCS120230918257034</t>
  </si>
  <si>
    <t>PROTHROMBIN TIME</t>
  </si>
  <si>
    <t>THROMBOPLASTIN TIME PARTIAL</t>
  </si>
  <si>
    <t>BLOOD CULTURE FOR BACTERIA</t>
  </si>
  <si>
    <t>METABOLIC PANEL TOTAL CA</t>
  </si>
  <si>
    <t>HCS120230918257033</t>
  </si>
  <si>
    <t>HEPATIC FUNCTION PANEL</t>
  </si>
  <si>
    <t>ASSAY OF MAGNESIUM</t>
  </si>
  <si>
    <t>ASSAY OF PHOSPHORUS</t>
  </si>
  <si>
    <t>C-REACTIVE PROTEIN</t>
  </si>
  <si>
    <t>GLYCOSYLATED HEMOGLOBIN TEST</t>
  </si>
  <si>
    <t>HCS120231206255045</t>
  </si>
  <si>
    <t>Z01.818</t>
  </si>
  <si>
    <t>Encounter for other preprocedural examination</t>
  </si>
  <si>
    <t>RBC ANTIBODY SCREEN</t>
  </si>
  <si>
    <t>BLOOD TYPING SEROLOGIC ABO</t>
  </si>
  <si>
    <t>BLOOD TYPING SEROLOGIC RH(D)</t>
  </si>
  <si>
    <t>MHHS SOUTHWEST HOSPITAL</t>
  </si>
  <si>
    <t>HCS120231024274022</t>
  </si>
  <si>
    <t>HCS120231129258005</t>
  </si>
  <si>
    <t>HCS120231204282001</t>
  </si>
  <si>
    <t>OAKBEND MEDICAL CENTER</t>
  </si>
  <si>
    <t>J2405</t>
  </si>
  <si>
    <t>INJECTION, ONDANSETRON HYDROCHLORIDE, PE</t>
  </si>
  <si>
    <t>HCS120231012270008</t>
  </si>
  <si>
    <t>E86.0</t>
  </si>
  <si>
    <t>Dehydration</t>
  </si>
  <si>
    <t>HCS120231025268002</t>
  </si>
  <si>
    <t>HCS120231115272001</t>
  </si>
  <si>
    <t>Z02.89</t>
  </si>
  <si>
    <t>Encounter for other administrative examinations</t>
  </si>
  <si>
    <t>J1885</t>
  </si>
  <si>
    <t>INJECTION, KETOROLAC TROMETHAMINE, PER 1</t>
  </si>
  <si>
    <t>HCS120231115272005</t>
  </si>
  <si>
    <t>S00.03XA</t>
  </si>
  <si>
    <t>Contusion of scalp, initial encounter</t>
  </si>
  <si>
    <t>OB US &gt;/= 14 WKS SNGL FETUS</t>
  </si>
  <si>
    <t>RADIOLOGY</t>
  </si>
  <si>
    <t>Ultrasound (US)</t>
  </si>
  <si>
    <t>HCS120231024274027</t>
  </si>
  <si>
    <t>Z36.89</t>
  </si>
  <si>
    <t>Encounter for other specified antenatal screening</t>
  </si>
  <si>
    <t>HCS120231107279040</t>
  </si>
  <si>
    <t>S63.522A</t>
  </si>
  <si>
    <t>Sprain of radiocarpal joint of left wrist, initial encounter</t>
  </si>
  <si>
    <t>HCS120231012270009</t>
  </si>
  <si>
    <t>F15.180</t>
  </si>
  <si>
    <t>Other stimulant abuse with stimulant-induced anxiety disorder</t>
  </si>
  <si>
    <t>HCS120231107278001</t>
  </si>
  <si>
    <t>Z04.1</t>
  </si>
  <si>
    <t>Encounter for examination and observation following transport accident</t>
  </si>
  <si>
    <t>HCS120231204282010</t>
  </si>
  <si>
    <t>S10.93XA</t>
  </si>
  <si>
    <t>Contusion of unspecified part of neck, initial encounter</t>
  </si>
  <si>
    <t>HCS120231115272013</t>
  </si>
  <si>
    <t>HCS120231003280039</t>
  </si>
  <si>
    <t>F41.1</t>
  </si>
  <si>
    <t>Generalized anxiety disorder</t>
  </si>
  <si>
    <t>J0360</t>
  </si>
  <si>
    <t>INJECTION, HYDRALAZINE HCL, UP TO 20 MG</t>
  </si>
  <si>
    <t>HCS120231023299001</t>
  </si>
  <si>
    <t>TDAP VACCINE 7 YRS/&gt; IM</t>
  </si>
  <si>
    <t>HCS120231017277029</t>
  </si>
  <si>
    <t>S80.811A</t>
  </si>
  <si>
    <t>Abrasion, right lower leg, initial encounter</t>
  </si>
  <si>
    <t>HCS120231023298016</t>
  </si>
  <si>
    <t>N20.0</t>
  </si>
  <si>
    <t>Calculus of kidney</t>
  </si>
  <si>
    <t>HCS120231023299005</t>
  </si>
  <si>
    <t>O46.93</t>
  </si>
  <si>
    <t>Antepartum hemorrhage, unspecified, third trimester</t>
  </si>
  <si>
    <t>THER/PROPH/DIAG INJ IV PUSH</t>
  </si>
  <si>
    <t>HCS120231128266010</t>
  </si>
  <si>
    <t>E11.65</t>
  </si>
  <si>
    <t>Type 2 diabetes mellitus with hyperglycemia</t>
  </si>
  <si>
    <t>HCS120231106301002</t>
  </si>
  <si>
    <t>A41.89</t>
  </si>
  <si>
    <t>Other specified sepsis</t>
  </si>
  <si>
    <t>HCS120231024274023</t>
  </si>
  <si>
    <t>R55</t>
  </si>
  <si>
    <t>Syncope and collapse</t>
  </si>
  <si>
    <t>R10.31</t>
  </si>
  <si>
    <t>Right lower quadrant pain</t>
  </si>
  <si>
    <t>WITHDRAWAL OF ARTERIAL BLOOD</t>
  </si>
  <si>
    <t>HCS120231023300001</t>
  </si>
  <si>
    <t>T40.411A</t>
  </si>
  <si>
    <t>TRANSVAGINAL US NON-OB</t>
  </si>
  <si>
    <t>HCS120231023299003</t>
  </si>
  <si>
    <t>R10.2</t>
  </si>
  <si>
    <t>Pelvic and perineal pain</t>
  </si>
  <si>
    <t>HCS120231024274024</t>
  </si>
  <si>
    <t>N50.819</t>
  </si>
  <si>
    <t>Testicular pain, unspecified</t>
  </si>
  <si>
    <t>HCS120231012270010</t>
  </si>
  <si>
    <t>HCS120231023299002</t>
  </si>
  <si>
    <t>I95.0</t>
  </si>
  <si>
    <t>Idiopathic hypotension</t>
  </si>
  <si>
    <t>HCS120231031272006</t>
  </si>
  <si>
    <t>J44.9</t>
  </si>
  <si>
    <t>Chronic obstructive pulmonary disease, unspecified</t>
  </si>
  <si>
    <t>HCS120231115272012</t>
  </si>
  <si>
    <t>HCS120231030305002</t>
  </si>
  <si>
    <t>HCS120230918282049</t>
  </si>
  <si>
    <t>HCS120231115272004</t>
  </si>
  <si>
    <t>HCS120231024274026</t>
  </si>
  <si>
    <t>HCS120231023299004</t>
  </si>
  <si>
    <t>R07.89</t>
  </si>
  <si>
    <t>Other chest pain</t>
  </si>
  <si>
    <t>HCS120231121278004</t>
  </si>
  <si>
    <t>E10.10</t>
  </si>
  <si>
    <t>Type 1 diabetes mellitus with ketoacidosis without coma</t>
  </si>
  <si>
    <t>CT HEAD/BRAIN W/O &amp; W/DYE</t>
  </si>
  <si>
    <t>CT</t>
  </si>
  <si>
    <t>HCS120231115272002</t>
  </si>
  <si>
    <t>D17.0</t>
  </si>
  <si>
    <t>Benign lipomatous neoplasm of skin and subcutaneous tissue of head, face and neck</t>
  </si>
  <si>
    <t>HCS120231024274025</t>
  </si>
  <si>
    <t>G40.409</t>
  </si>
  <si>
    <t>Other generalized epilepsy and epileptic syndromes, not intractable, without status epilepticus</t>
  </si>
  <si>
    <t>HCS120231025268001</t>
  </si>
  <si>
    <t>G40.901</t>
  </si>
  <si>
    <t>Epilepsy, unspecified, not intractable, with status epilepticus</t>
  </si>
  <si>
    <t>HCS120231115270013</t>
  </si>
  <si>
    <t>Z00.00</t>
  </si>
  <si>
    <t>Encounter for general adult medical examination without abnormal findings</t>
  </si>
  <si>
    <t>HCS120231025268008</t>
  </si>
  <si>
    <t>O70.0</t>
  </si>
  <si>
    <t>First degree perineal laceration during delivery</t>
  </si>
  <si>
    <t>OAKBEND MEDICAL GROUP</t>
  </si>
  <si>
    <t>HCS120231002252044</t>
  </si>
  <si>
    <t>I21.4</t>
  </si>
  <si>
    <t>Non-ST elevation (NSTEMI) myocardial infarction</t>
  </si>
  <si>
    <t>ELECTROCARDIOGRAM REPORT</t>
  </si>
  <si>
    <t>HCS120231017256002</t>
  </si>
  <si>
    <t>R07.9</t>
  </si>
  <si>
    <t>Chest pain, unspecified</t>
  </si>
  <si>
    <t>HCS120231002252043</t>
  </si>
  <si>
    <t>HCS120231023268028</t>
  </si>
  <si>
    <t>R06.02</t>
  </si>
  <si>
    <t>Shortness of breath</t>
  </si>
  <si>
    <t>CRITICAL CARE FIRST HOUR</t>
  </si>
  <si>
    <t>HCS120231024257021</t>
  </si>
  <si>
    <t>HCS120231025263037</t>
  </si>
  <si>
    <t>INPATIENT CONSULTATION</t>
  </si>
  <si>
    <t>HCS120231030278041</t>
  </si>
  <si>
    <t>R00.1</t>
  </si>
  <si>
    <t>Bradycardia, unspecified</t>
  </si>
  <si>
    <t>HCS120231030278042</t>
  </si>
  <si>
    <t>HCS120231030278039</t>
  </si>
  <si>
    <t>HCS120231030278043</t>
  </si>
  <si>
    <t>R57.0</t>
  </si>
  <si>
    <t>Cardiogenic shock</t>
  </si>
  <si>
    <t>HCS120231030278040</t>
  </si>
  <si>
    <t>TTE W/DOPPLER COMPLETE</t>
  </si>
  <si>
    <t>HCS120231031256047</t>
  </si>
  <si>
    <t>HCS120231031256048</t>
  </si>
  <si>
    <t>I95.9</t>
  </si>
  <si>
    <t>Hypotension, unspecified</t>
  </si>
  <si>
    <t>HCS120231114254031</t>
  </si>
  <si>
    <t>HCS120230918264029</t>
  </si>
  <si>
    <t>HCS120231114254029</t>
  </si>
  <si>
    <t>HCS120231114254030</t>
  </si>
  <si>
    <t>HCS120231128259027</t>
  </si>
  <si>
    <t>HCS120230911255011</t>
  </si>
  <si>
    <t>G40.501</t>
  </si>
  <si>
    <t>Epileptic seizures related to external causes, not intractable, with status epilepticus</t>
  </si>
  <si>
    <t>HCS120230911255012</t>
  </si>
  <si>
    <t>HCS120231002286030</t>
  </si>
  <si>
    <t>R56.9</t>
  </si>
  <si>
    <t>Unspecified convulsions</t>
  </si>
  <si>
    <t>HCS120231107270034</t>
  </si>
  <si>
    <t>HCS120231107267024</t>
  </si>
  <si>
    <t>HCS120231107267025</t>
  </si>
  <si>
    <t>ORAL AND FACIAL SURGERY INSTITUTE OF HOU</t>
  </si>
  <si>
    <t>D0150</t>
  </si>
  <si>
    <t>COMPREHENSIVE ORAL EVALUATION</t>
  </si>
  <si>
    <t>OFFICE VISITS WITH PROCEDURES</t>
  </si>
  <si>
    <t>Oral and Maxillofacial Surgery</t>
  </si>
  <si>
    <t>HCS120230919275003</t>
  </si>
  <si>
    <t>D9219</t>
  </si>
  <si>
    <t>D7210</t>
  </si>
  <si>
    <t>REMOV ERPTD TTH W/FLP BON/TTH REMOV</t>
  </si>
  <si>
    <t>D9223</t>
  </si>
  <si>
    <t>DEEP SEDATION/GENERAL ANESTHESIA EACH 15</t>
  </si>
  <si>
    <t>D9222</t>
  </si>
  <si>
    <t>D0330</t>
  </si>
  <si>
    <t>PANORAMIC FILM</t>
  </si>
  <si>
    <t>D9612</t>
  </si>
  <si>
    <t>THERAPEUTIC PARENTERAL DRUGS TWO OR MORE</t>
  </si>
  <si>
    <t>D9230</t>
  </si>
  <si>
    <t>ANALGES-ANXIOLYSIS-INHAL NITROUS</t>
  </si>
  <si>
    <t>HCS120231017280003</t>
  </si>
  <si>
    <t>HCS120231017281001</t>
  </si>
  <si>
    <t>D7250</t>
  </si>
  <si>
    <t>SURG REMOV TOOTH ROOTS (CUT PROC)</t>
  </si>
  <si>
    <t>D7240</t>
  </si>
  <si>
    <t>REMOVAL IMPCT TOOTH COMPLT BONY</t>
  </si>
  <si>
    <t>D7220</t>
  </si>
  <si>
    <t>REMOVAL IMPACTED TOOTH SOFT TISSUE</t>
  </si>
  <si>
    <t>RICHBEND EMERGENCY PHYSICIANS PLLC</t>
  </si>
  <si>
    <t>HE20230914022061</t>
  </si>
  <si>
    <t>HE20231204021001</t>
  </si>
  <si>
    <t>S01.112A</t>
  </si>
  <si>
    <t>Laceration without foreign body of left eyelid and periocular area, initial encounter</t>
  </si>
  <si>
    <t>RPR F/E/E/N/L/M 2.5 CM/&lt;</t>
  </si>
  <si>
    <t>HE20231110023005</t>
  </si>
  <si>
    <t>HE20231109023002</t>
  </si>
  <si>
    <t>Z04.81</t>
  </si>
  <si>
    <t>HE20231117023051</t>
  </si>
  <si>
    <t>HE20230927022003</t>
  </si>
  <si>
    <t>HE20231002021002</t>
  </si>
  <si>
    <t>HE20231017019001</t>
  </si>
  <si>
    <t>HE20231020025001</t>
  </si>
  <si>
    <t>HE20231204021002</t>
  </si>
  <si>
    <t>S05.01XA</t>
  </si>
  <si>
    <t>Injury of conjunctiva and corneal abrasion without foreign body, right eye, initial encounter</t>
  </si>
  <si>
    <t>HE20230915026005</t>
  </si>
  <si>
    <t>F15.10</t>
  </si>
  <si>
    <t>Other stimulant abuse, uncomplicated</t>
  </si>
  <si>
    <t>HE20231205023001</t>
  </si>
  <si>
    <t>HE20231026021001</t>
  </si>
  <si>
    <t>N30.01</t>
  </si>
  <si>
    <t>Acute cystitis with hematuria</t>
  </si>
  <si>
    <t>INSERT NON-TUNNEL CV CATH</t>
  </si>
  <si>
    <t>HE20231026021002</t>
  </si>
  <si>
    <t>US GUIDE VASCULAR ACCESS</t>
  </si>
  <si>
    <t>HE20230929023005</t>
  </si>
  <si>
    <t>H60.12</t>
  </si>
  <si>
    <t>Cellulitis of left external ear</t>
  </si>
  <si>
    <t>HE20231206021008</t>
  </si>
  <si>
    <t>HE20230925019001</t>
  </si>
  <si>
    <t>HE20231002021001</t>
  </si>
  <si>
    <t>HE20231106017008</t>
  </si>
  <si>
    <t>HE20231110023004</t>
  </si>
  <si>
    <t>HE20230919020001</t>
  </si>
  <si>
    <t>HE20230927022002</t>
  </si>
  <si>
    <t>HE20231010018002</t>
  </si>
  <si>
    <t>HCS120231024256042</t>
  </si>
  <si>
    <t>SINGLETON ASSOCIATES PA</t>
  </si>
  <si>
    <t>HCS120231002284036</t>
  </si>
  <si>
    <t>HCS120231002284037</t>
  </si>
  <si>
    <t>OB US LIMITED FETUS(S)</t>
  </si>
  <si>
    <t>HCS120230926260019</t>
  </si>
  <si>
    <t>X-RAY EXAM OF WRIST</t>
  </si>
  <si>
    <t>HCS120231113251040</t>
  </si>
  <si>
    <t>S69.92XA</t>
  </si>
  <si>
    <t>Unspecified injury of left wrist, hand and finger(s), initial encounter</t>
  </si>
  <si>
    <t>HCS120230918263019</t>
  </si>
  <si>
    <t>R41.82</t>
  </si>
  <si>
    <t>Altered mental status, unspecified</t>
  </si>
  <si>
    <t>HCS120230918263020</t>
  </si>
  <si>
    <t>HCS120231011269041</t>
  </si>
  <si>
    <t>X-RAY EXAM OF LOWER LEG</t>
  </si>
  <si>
    <t>HCS120231023273041</t>
  </si>
  <si>
    <t>CT ABD &amp; PELVIS W/O CONTRAST</t>
  </si>
  <si>
    <t>HCS120231016261007</t>
  </si>
  <si>
    <t>M54.50</t>
  </si>
  <si>
    <t>HCS120230911263008</t>
  </si>
  <si>
    <t>HCS120231023255018</t>
  </si>
  <si>
    <t>U07.1</t>
  </si>
  <si>
    <t>HCS120231030280010</t>
  </si>
  <si>
    <t>B99.9</t>
  </si>
  <si>
    <t>Unspecified infectious disease</t>
  </si>
  <si>
    <t>HCS120231030280011</t>
  </si>
  <si>
    <t>R91.8</t>
  </si>
  <si>
    <t>Other nonspecific abnormal finding of lung field</t>
  </si>
  <si>
    <t>HEPATOBILIARY SYSTEM IMAGING</t>
  </si>
  <si>
    <t>HCS120231030250030</t>
  </si>
  <si>
    <t>HCS120231030250032</t>
  </si>
  <si>
    <t>I46.9</t>
  </si>
  <si>
    <t>Cardiac arrest, cause unspecified</t>
  </si>
  <si>
    <t>HCS120231030250033</t>
  </si>
  <si>
    <t>Z99.11</t>
  </si>
  <si>
    <t>Dependence on respirator [ventilator] status</t>
  </si>
  <si>
    <t>HCS120231030280009</t>
  </si>
  <si>
    <t>K80.20</t>
  </si>
  <si>
    <t>Calculus of gallbladder without cholecystitis without obstruction</t>
  </si>
  <si>
    <t>CT ABD &amp; PELV W/CONTRAST</t>
  </si>
  <si>
    <t>HCS120231030280008</t>
  </si>
  <si>
    <t>HCS120231030280007</t>
  </si>
  <si>
    <t>HCS120231031261025</t>
  </si>
  <si>
    <t>HEPATOBIL SYST IMAGE W/DRUG</t>
  </si>
  <si>
    <t>HCS120231031261026</t>
  </si>
  <si>
    <t>CT NECK SPINE W/O DYE</t>
  </si>
  <si>
    <t>HCS120230911269034</t>
  </si>
  <si>
    <t>R42</t>
  </si>
  <si>
    <t>Dizziness and giddiness</t>
  </si>
  <si>
    <t>HCS120230911269028</t>
  </si>
  <si>
    <t>CT ANGIOGRAPHY NECK</t>
  </si>
  <si>
    <t>HCS120231127275006</t>
  </si>
  <si>
    <t>S19.9XXA</t>
  </si>
  <si>
    <t>Unspecified injury of neck, initial encounter</t>
  </si>
  <si>
    <t>X-RAY EXAM OF SHOULDER</t>
  </si>
  <si>
    <t>HCS120231127275007</t>
  </si>
  <si>
    <t>S49.91XA</t>
  </si>
  <si>
    <t>Unspecified injury of right shoulder and upper arm, initial encounter</t>
  </si>
  <si>
    <t>HCS120231127275008</t>
  </si>
  <si>
    <t>S49.92XA</t>
  </si>
  <si>
    <t>Unspecified injury of left shoulder and upper arm, initial encounter</t>
  </si>
  <si>
    <t>X-RAY EXAM CHEST 2 VIEWS</t>
  </si>
  <si>
    <t>HCS120230911269033</t>
  </si>
  <si>
    <t>T50.901A</t>
  </si>
  <si>
    <t>Poisoning by unspecified drugs, medicaments and biological substances, accidental (unintentional), initial encounter</t>
  </si>
  <si>
    <t>CT THORAX W/DYE</t>
  </si>
  <si>
    <t>HCS120230911269036</t>
  </si>
  <si>
    <t>HCS120230911263009</t>
  </si>
  <si>
    <t>N83.291</t>
  </si>
  <si>
    <t>Other ovarian cyst, right side</t>
  </si>
  <si>
    <t>US EXAM SCROTUM</t>
  </si>
  <si>
    <t>HCS120231023253039</t>
  </si>
  <si>
    <t>N50.9</t>
  </si>
  <si>
    <t>Disorder of male genital organs, unspecified</t>
  </si>
  <si>
    <t>HCS120230911269037</t>
  </si>
  <si>
    <t>J98.11</t>
  </si>
  <si>
    <t>Atelectasis</t>
  </si>
  <si>
    <t>CT THORAX W/O DYE</t>
  </si>
  <si>
    <t>HCS120230911269027</t>
  </si>
  <si>
    <t>R09.02</t>
  </si>
  <si>
    <t>Hypoxemia</t>
  </si>
  <si>
    <t>HCS120230911269040</t>
  </si>
  <si>
    <t>HCS120230911263007</t>
  </si>
  <si>
    <t>Z45.2</t>
  </si>
  <si>
    <t>Encounter for adjustment and management of vascular access device</t>
  </si>
  <si>
    <t>HCS120231023253040</t>
  </si>
  <si>
    <t>HCS120230918273008</t>
  </si>
  <si>
    <t>HCS120230911269035</t>
  </si>
  <si>
    <t>HCS120230912252030</t>
  </si>
  <si>
    <t>I63.9</t>
  </si>
  <si>
    <t>Cerebral infarction, unspecified</t>
  </si>
  <si>
    <t>CT ANGIOGRAPHY HEAD</t>
  </si>
  <si>
    <t>HCS120230912252031</t>
  </si>
  <si>
    <t>I63.211</t>
  </si>
  <si>
    <t>Cerebral infarction due to unspecified occlusion or stenosis of right vertebral artery</t>
  </si>
  <si>
    <t>MR ANGIOGRAPHY NECK W/O DYE</t>
  </si>
  <si>
    <t>HCS120230918273009</t>
  </si>
  <si>
    <t>MR ANGIOGRAPHY HEAD W/O DYE</t>
  </si>
  <si>
    <t>MRI BRAIN STEM W/O DYE</t>
  </si>
  <si>
    <t>HCS120231116254025</t>
  </si>
  <si>
    <t>HCS120231011258046</t>
  </si>
  <si>
    <t>HCS120230911269032</t>
  </si>
  <si>
    <t>HCS120230911269029</t>
  </si>
  <si>
    <t>R10.0</t>
  </si>
  <si>
    <t>Acute abdomen</t>
  </si>
  <si>
    <t>HCS120231030250031</t>
  </si>
  <si>
    <t>SOUTHWEST NEPHROLOGY ASSOCIATES LLP</t>
  </si>
  <si>
    <t>HCS120231023282048</t>
  </si>
  <si>
    <t>N18.6</t>
  </si>
  <si>
    <t>End stage renal disease</t>
  </si>
  <si>
    <t>SUGAR LAND CARDIOVASCULAR CATH LAB</t>
  </si>
  <si>
    <t>C9600</t>
  </si>
  <si>
    <t>PERCUTANEOUS TRANSCATHETER PLACEMENT OF</t>
  </si>
  <si>
    <t>Cardiology</t>
  </si>
  <si>
    <t>HCS120230918254006</t>
  </si>
  <si>
    <t>I25.110</t>
  </si>
  <si>
    <t>Atherosclerotic heart disease of native coronary artery with unstable angina pectoris</t>
  </si>
  <si>
    <t>L HRT ARTERY/VENTRICLE ANGIO</t>
  </si>
  <si>
    <t>PRQ CARDIAC ANGIO ADDL ART</t>
  </si>
  <si>
    <t>C1874</t>
  </si>
  <si>
    <t>STENT, COATED/COVERED, WITH DELIVERY SYS</t>
  </si>
  <si>
    <t>C1725</t>
  </si>
  <si>
    <t>CATHETER, TRANSLUMINAL ANGIOPLASTY, NON-</t>
  </si>
  <si>
    <t>MOD SED SAME PHYS/QHP 5/&gt;YRS</t>
  </si>
  <si>
    <t>MOD SED SAME PHYS/QHP EA</t>
  </si>
  <si>
    <t>Q9967</t>
  </si>
  <si>
    <t>LOW OSMOLAR CONTRAST MATERIAL, 300-399 M</t>
  </si>
  <si>
    <t>SUGAR LAND WOMENS CARE</t>
  </si>
  <si>
    <t>HCS120231025258049</t>
  </si>
  <si>
    <t>R65.21</t>
  </si>
  <si>
    <t>Severe sepsis with septic shock</t>
  </si>
  <si>
    <t>TMH PHYSICIAN ASSOCIATES PLLC</t>
  </si>
  <si>
    <t>HCS120231023279036</t>
  </si>
  <si>
    <t>I16.0</t>
  </si>
  <si>
    <t>Hypertensive urgency</t>
  </si>
  <si>
    <t>HCS120231023279037</t>
  </si>
  <si>
    <t>HCS120231023279035</t>
  </si>
  <si>
    <t>HCS120231023279038</t>
  </si>
  <si>
    <t>HCS120231023279044</t>
  </si>
  <si>
    <t>I51.7</t>
  </si>
  <si>
    <t>Cardiomegaly</t>
  </si>
  <si>
    <t>HCS120231204254047</t>
  </si>
  <si>
    <t>M19.031</t>
  </si>
  <si>
    <t>Primary osteoarthritis, right wrist</t>
  </si>
  <si>
    <t>TRAVIS COUNTY EMERGENCY PHYSICIANS PA</t>
  </si>
  <si>
    <t>HCS120231127268006</t>
  </si>
  <si>
    <t>HCS120231030285042</t>
  </si>
  <si>
    <t>UTMB FACULTY GROUP PRACTICE</t>
  </si>
  <si>
    <t>OFFICE/OUTPATIENT VISIT NEW</t>
  </si>
  <si>
    <t>Orthopedics</t>
  </si>
  <si>
    <t>M25.531</t>
  </si>
  <si>
    <t>Pain in right wrist</t>
  </si>
  <si>
    <t>X-RAY EXAM OF PELVIS</t>
  </si>
  <si>
    <t>HCS120231011250029</t>
  </si>
  <si>
    <t>X-RAY EXAM OF FEMUR 2/&gt;</t>
  </si>
  <si>
    <t>YASSIR A SONBOL MD PA</t>
  </si>
  <si>
    <t>HCS120231129250001</t>
  </si>
  <si>
    <t>PRQ CARD STENT W/ANGIO 1 VSL</t>
  </si>
  <si>
    <t>HCS120231129251050</t>
  </si>
  <si>
    <t>I20.0</t>
  </si>
  <si>
    <t>Unstable angina</t>
  </si>
  <si>
    <t>HCS120231204267048</t>
  </si>
  <si>
    <t>HCS120231204267047</t>
  </si>
  <si>
    <t>Grand Total</t>
  </si>
  <si>
    <t>Oct</t>
  </si>
  <si>
    <t>Nov</t>
  </si>
  <si>
    <t>Dec</t>
  </si>
  <si>
    <t>Column Labels</t>
  </si>
  <si>
    <t>Sum of Paid</t>
  </si>
  <si>
    <t>Treatment Type</t>
  </si>
  <si>
    <t>Total Hrs in Period: 880</t>
  </si>
  <si>
    <t>Staffing Report - Staff Level (Hours)</t>
  </si>
  <si>
    <t>Sites: TX Fort Bend Cty Jail - (100131)</t>
  </si>
  <si>
    <t>* = Backfill Position</t>
  </si>
  <si>
    <t>Position</t>
  </si>
  <si>
    <t>Contract Totals</t>
  </si>
  <si>
    <t>Productive Hours</t>
  </si>
  <si>
    <t>Non-Productive Hours</t>
  </si>
  <si>
    <t>Total</t>
  </si>
  <si>
    <r>
      <rPr>
        <b/>
        <sz val="7"/>
        <color rgb="FFFFFFFF"/>
        <rFont val="Calibri"/>
        <family val="2"/>
      </rPr>
      <t xml:space="preserve">Resource Type
</t>
    </r>
    <r>
      <rPr>
        <i/>
        <sz val="7"/>
        <color rgb="FFFFFFFF"/>
        <rFont val="Calibri"/>
        <family val="2"/>
      </rPr>
      <t>Resource</t>
    </r>
  </si>
  <si>
    <r>
      <rPr>
        <b/>
        <sz val="7"/>
        <color rgb="FFFFFFFF"/>
        <rFont val="Calibri"/>
        <family val="2"/>
      </rPr>
      <t xml:space="preserve">Actual
</t>
    </r>
    <r>
      <rPr>
        <b/>
        <sz val="7"/>
        <color rgb="FFFFFFFF"/>
        <rFont val="Calibri"/>
        <family val="2"/>
      </rPr>
      <t>Hours</t>
    </r>
  </si>
  <si>
    <r>
      <rPr>
        <b/>
        <sz val="7"/>
        <color rgb="FFFFFFFF"/>
        <rFont val="Calibri"/>
        <family val="2"/>
      </rPr>
      <t xml:space="preserve">Contracted
</t>
    </r>
    <r>
      <rPr>
        <b/>
        <sz val="7"/>
        <color rgb="FFFFFFFF"/>
        <rFont val="Calibri"/>
        <family val="2"/>
      </rPr>
      <t>Hours</t>
    </r>
  </si>
  <si>
    <t>Variance</t>
  </si>
  <si>
    <t>Regular</t>
  </si>
  <si>
    <t>Overtime Hourly</t>
  </si>
  <si>
    <t>Overtime Salary</t>
  </si>
  <si>
    <r>
      <rPr>
        <b/>
        <sz val="7"/>
        <color rgb="FFFFFFFF"/>
        <rFont val="Calibri"/>
        <family val="2"/>
      </rPr>
      <t xml:space="preserve">Holiday
</t>
    </r>
    <r>
      <rPr>
        <b/>
        <sz val="7"/>
        <color rgb="FFFFFFFF"/>
        <rFont val="Calibri"/>
        <family val="2"/>
      </rPr>
      <t>Worked</t>
    </r>
  </si>
  <si>
    <r>
      <rPr>
        <b/>
        <sz val="7"/>
        <color rgb="FFFFFFFF"/>
        <rFont val="Calibri"/>
        <family val="2"/>
      </rPr>
      <t xml:space="preserve">Total
</t>
    </r>
    <r>
      <rPr>
        <b/>
        <sz val="7"/>
        <color rgb="FFFFFFFF"/>
        <rFont val="Calibri"/>
        <family val="2"/>
      </rPr>
      <t>Productive</t>
    </r>
  </si>
  <si>
    <r>
      <rPr>
        <b/>
        <sz val="7"/>
        <color rgb="FFFFFFFF"/>
        <rFont val="Calibri"/>
        <family val="2"/>
      </rPr>
      <t xml:space="preserve">Vacation,
</t>
    </r>
    <r>
      <rPr>
        <b/>
        <sz val="7"/>
        <color rgb="FFFFFFFF"/>
        <rFont val="Calibri"/>
        <family val="2"/>
      </rPr>
      <t>Sick, &amp; PTO</t>
    </r>
  </si>
  <si>
    <t>Holiday</t>
  </si>
  <si>
    <t>Training</t>
  </si>
  <si>
    <t>Other</t>
  </si>
  <si>
    <r>
      <rPr>
        <b/>
        <sz val="7"/>
        <color rgb="FFFFFFFF"/>
        <rFont val="Calibri"/>
        <family val="2"/>
      </rPr>
      <t xml:space="preserve">Total
</t>
    </r>
    <r>
      <rPr>
        <b/>
        <sz val="7"/>
        <color rgb="FFFFFFFF"/>
        <rFont val="Calibri"/>
        <family val="2"/>
      </rPr>
      <t>Non-Productive</t>
    </r>
  </si>
  <si>
    <r>
      <rPr>
        <b/>
        <sz val="7"/>
        <color rgb="FFFFFFFF"/>
        <rFont val="Calibri"/>
        <family val="2"/>
      </rPr>
      <t xml:space="preserve">Paid
</t>
    </r>
    <r>
      <rPr>
        <b/>
        <sz val="7"/>
        <color rgb="FFFFFFFF"/>
        <rFont val="Calibri"/>
        <family val="2"/>
      </rPr>
      <t>Hours</t>
    </r>
  </si>
  <si>
    <t>Administration</t>
  </si>
  <si>
    <t>Administrative Assistant</t>
  </si>
  <si>
    <t/>
  </si>
  <si>
    <r>
      <rPr>
        <sz val="10"/>
        <color theme="1"/>
        <rFont val="Courier New"/>
        <family val="3"/>
      </rPr>
      <t xml:space="preserve">    </t>
    </r>
    <r>
      <rPr>
        <b/>
        <sz val="9"/>
        <color rgb="FF000000"/>
        <rFont val="Calibri"/>
        <family val="2"/>
      </rPr>
      <t>Full Time</t>
    </r>
  </si>
  <si>
    <t>Franklin, Brian</t>
  </si>
  <si>
    <t>Wobbe, Louise</t>
  </si>
  <si>
    <t>Total - Administrative Assistant</t>
  </si>
  <si>
    <t>Director of Nursing</t>
  </si>
  <si>
    <t>Moran, Kellie</t>
  </si>
  <si>
    <t>Total - Director of Nursing</t>
  </si>
  <si>
    <t>Discharge Planner</t>
  </si>
  <si>
    <t>De La Cruz, Faustino</t>
  </si>
  <si>
    <t>Fields, Andria</t>
  </si>
  <si>
    <t>Total - Discharge Planner</t>
  </si>
  <si>
    <t>Health Services Administrator</t>
  </si>
  <si>
    <t>Cardiff, Durelle</t>
  </si>
  <si>
    <t>Total - Health Services Administrator</t>
  </si>
  <si>
    <t>Total - Administration</t>
  </si>
  <si>
    <t>Dental Services</t>
  </si>
  <si>
    <t>Dental Assistant</t>
  </si>
  <si>
    <t>Vazquez, Mayra</t>
  </si>
  <si>
    <t>Total - Dental Assistant</t>
  </si>
  <si>
    <t>Dentist</t>
  </si>
  <si>
    <t>Morgan, Steffanie</t>
  </si>
  <si>
    <r>
      <rPr>
        <sz val="10"/>
        <color theme="1"/>
        <rFont val="Courier New"/>
        <family val="3"/>
      </rPr>
      <t xml:space="preserve">    </t>
    </r>
    <r>
      <rPr>
        <b/>
        <sz val="9"/>
        <color rgb="FF000000"/>
        <rFont val="Calibri"/>
        <family val="2"/>
      </rPr>
      <t>PRN</t>
    </r>
  </si>
  <si>
    <t>Williams, Andrea</t>
  </si>
  <si>
    <t>Total - Dentist</t>
  </si>
  <si>
    <t>Total - Dental Services</t>
  </si>
  <si>
    <t>Licensed Vocational Nurse</t>
  </si>
  <si>
    <t>Adabale, Olatunji</t>
  </si>
  <si>
    <t>Anidiobi, Nneze</t>
  </si>
  <si>
    <t>Ballejo-Banda, Barbara</t>
  </si>
  <si>
    <t>Benjamin, Edobor</t>
  </si>
  <si>
    <t>Dunham Rayne, Colleen</t>
  </si>
  <si>
    <t>Garcia, Briana</t>
  </si>
  <si>
    <t>Hayes, Satoria</t>
  </si>
  <si>
    <t>Herzog, Kelly</t>
  </si>
  <si>
    <t>Hopfer, Robert</t>
  </si>
  <si>
    <t>Johnson, Maria</t>
  </si>
  <si>
    <t>Mackey, Katrina</t>
  </si>
  <si>
    <t>Oladipo, Ayoola</t>
  </si>
  <si>
    <t>Rabius, Shirley</t>
  </si>
  <si>
    <t>Rangel, Julio</t>
  </si>
  <si>
    <t>Ryon, Laura</t>
  </si>
  <si>
    <t>Slowey, Courtney</t>
  </si>
  <si>
    <t>Smith, Tina</t>
  </si>
  <si>
    <t>Spradley, Linda</t>
  </si>
  <si>
    <t>Warner, Courtney</t>
  </si>
  <si>
    <t>Williams, Ashley</t>
  </si>
  <si>
    <t>Yeomans, Martha</t>
  </si>
  <si>
    <t>Adomako-Mensah, Akyiaa</t>
  </si>
  <si>
    <t>Etuk, Sharyll</t>
  </si>
  <si>
    <t>Flower, Melissa</t>
  </si>
  <si>
    <t>Garcia, Jonelle</t>
  </si>
  <si>
    <t>Ifeanyichukwu, Stella</t>
  </si>
  <si>
    <t>Obiakwata, Chinyere</t>
  </si>
  <si>
    <t>Risher, Jennifer</t>
  </si>
  <si>
    <t>Rollins, Jessica</t>
  </si>
  <si>
    <t>Uzoma, Chimezie</t>
  </si>
  <si>
    <t>Total - Licensed Vocational Nurse</t>
  </si>
  <si>
    <t>Medical Director</t>
  </si>
  <si>
    <r>
      <rPr>
        <sz val="10"/>
        <color theme="1"/>
        <rFont val="Courier New"/>
        <family val="3"/>
      </rPr>
      <t xml:space="preserve">    </t>
    </r>
    <r>
      <rPr>
        <b/>
        <sz val="9"/>
        <color rgb="FF000000"/>
        <rFont val="Calibri"/>
        <family val="2"/>
      </rPr>
      <t>Contractor</t>
    </r>
  </si>
  <si>
    <t>Joshi, Premal</t>
  </si>
  <si>
    <t>Simons, Dane</t>
  </si>
  <si>
    <r>
      <rPr>
        <sz val="10"/>
        <color theme="1"/>
        <rFont val="Courier New"/>
        <family val="3"/>
      </rPr>
      <t xml:space="preserve">    </t>
    </r>
    <r>
      <rPr>
        <b/>
        <sz val="9"/>
        <color rgb="FF000000"/>
        <rFont val="Calibri"/>
        <family val="2"/>
      </rPr>
      <t>Part Time</t>
    </r>
  </si>
  <si>
    <t>Gottlieb, Harold</t>
  </si>
  <si>
    <t>Prakash, Eva</t>
  </si>
  <si>
    <t>Kirkland, Kathryn</t>
  </si>
  <si>
    <t>Total - Medical Director</t>
  </si>
  <si>
    <t>Mid-Level Provider - Medical</t>
  </si>
  <si>
    <t>Simons, Dawn</t>
  </si>
  <si>
    <t>Ibironke, Funmilayo</t>
  </si>
  <si>
    <t>Osborne, Linda</t>
  </si>
  <si>
    <t>Bailey, Sandra</t>
  </si>
  <si>
    <t>Total - Mid-Level Provider - Medical</t>
  </si>
  <si>
    <t>Nurse Practitioner</t>
  </si>
  <si>
    <t>Total - Nurse Practitioner</t>
  </si>
  <si>
    <t>Registered Nurse</t>
  </si>
  <si>
    <t>Arismendez, Jessica</t>
  </si>
  <si>
    <t>Awoh, Mah</t>
  </si>
  <si>
    <t>Boisvert, Sarah</t>
  </si>
  <si>
    <t>Check Mbah, Damien</t>
  </si>
  <si>
    <t>Davis, Tymica</t>
  </si>
  <si>
    <t>Furtado, Julie</t>
  </si>
  <si>
    <t>Land, Marion</t>
  </si>
  <si>
    <t>Lopez, Jessica</t>
  </si>
  <si>
    <t>Mackie, Tamara</t>
  </si>
  <si>
    <t>Nkwocha, Tochi</t>
  </si>
  <si>
    <t>Ogunkelu, Adebisi</t>
  </si>
  <si>
    <t>Ondieki, Jeff</t>
  </si>
  <si>
    <t>Raynal, Michele</t>
  </si>
  <si>
    <t>Stewart-Whittle, Alinette</t>
  </si>
  <si>
    <t>Armstead, Qiana</t>
  </si>
  <si>
    <t>Adegbite, Comfort</t>
  </si>
  <si>
    <t>Igboanugo, Stephanie</t>
  </si>
  <si>
    <t>Jones, Alicia</t>
  </si>
  <si>
    <t>Okotie, Florence</t>
  </si>
  <si>
    <t>Schroeder, Caitlin</t>
  </si>
  <si>
    <t>Vernoy, Ruby</t>
  </si>
  <si>
    <t>Volter, Tia</t>
  </si>
  <si>
    <t>Total - Registered Nurse</t>
  </si>
  <si>
    <t>Total - Medical Services</t>
  </si>
  <si>
    <t>Mental Health</t>
  </si>
  <si>
    <t>Licensed Psychiatric Technician</t>
  </si>
  <si>
    <t>Chrena, Helen</t>
  </si>
  <si>
    <t>cornett, skylah</t>
  </si>
  <si>
    <t>Curtis, kendra</t>
  </si>
  <si>
    <t>Holly, Ahreon</t>
  </si>
  <si>
    <t>Lacy Jr, Samuel</t>
  </si>
  <si>
    <t>Newlin, Amanda</t>
  </si>
  <si>
    <t>Omoko, Joseph</t>
  </si>
  <si>
    <t>Total - Licensed Psychiatric Technician</t>
  </si>
  <si>
    <t>Mental Health Coordinator</t>
  </si>
  <si>
    <t>Rejcek, Whitney</t>
  </si>
  <si>
    <t>Total - Mental Health Coordinator</t>
  </si>
  <si>
    <t>Mental Health Professional</t>
  </si>
  <si>
    <t>Baker, Qattaria</t>
  </si>
  <si>
    <t>Doucet, Madeleine</t>
  </si>
  <si>
    <t>Elvish, Jordan</t>
  </si>
  <si>
    <t>Evans, Chyecaria</t>
  </si>
  <si>
    <t>Galvez, Sarah</t>
  </si>
  <si>
    <t>Hansen, Brittany</t>
  </si>
  <si>
    <t>James, Yetunde</t>
  </si>
  <si>
    <t>Kluna, Katherine</t>
  </si>
  <si>
    <t>Martin, Perry</t>
  </si>
  <si>
    <t>Rubin, Anissa</t>
  </si>
  <si>
    <t>Sims, Janet</t>
  </si>
  <si>
    <t>Tejuosho, Adejimi</t>
  </si>
  <si>
    <t>Boudy, Camry</t>
  </si>
  <si>
    <t>Curtis, Tiffany</t>
  </si>
  <si>
    <t>Lindsey, Renatta</t>
  </si>
  <si>
    <t>Olfers, Rita</t>
  </si>
  <si>
    <t>Walker, Erika</t>
  </si>
  <si>
    <t>Total - Mental Health Professional</t>
  </si>
  <si>
    <t>Psychiatric NP/PA</t>
  </si>
  <si>
    <r>
      <rPr>
        <sz val="10"/>
        <color theme="1"/>
        <rFont val="Courier New"/>
        <family val="3"/>
      </rPr>
      <t xml:space="preserve">    </t>
    </r>
    <r>
      <rPr>
        <b/>
        <sz val="9"/>
        <color rgb="FF000000"/>
        <rFont val="Calibri"/>
        <family val="2"/>
      </rPr>
      <t>Open Position</t>
    </r>
  </si>
  <si>
    <t>Open Position</t>
  </si>
  <si>
    <t>Total - Psychiatric NP/PA</t>
  </si>
  <si>
    <t>Psychiatrist</t>
  </si>
  <si>
    <t>Okusaga, Olaoluwa</t>
  </si>
  <si>
    <t>Mundin, Joann</t>
  </si>
  <si>
    <t>Total - Psychiatrist</t>
  </si>
  <si>
    <t>Total - Mental Health</t>
  </si>
  <si>
    <t>Pharmacy</t>
  </si>
  <si>
    <t>Pharmacy Manager</t>
  </si>
  <si>
    <t>Total - Pharmacy Manager</t>
  </si>
  <si>
    <t>Total - Pharmacy</t>
  </si>
  <si>
    <t>Support Staff</t>
  </si>
  <si>
    <t>Medical Records Clerk</t>
  </si>
  <si>
    <t>Dias, Nitarshia</t>
  </si>
  <si>
    <t>Total - Medical Records Clerk</t>
  </si>
  <si>
    <t>Total - Support Staff</t>
  </si>
  <si>
    <t xml:space="preserve">          For Period: 8/1/2023 12:00:00 AM - 12/30/2023 12:00:00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</si>
</sst>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yyyy\-mm"/>
    <numFmt numFmtId="165" formatCode="[$-10409]#,##0.00;\-#,##0.00"/>
    <numFmt numFmtId="166" formatCode="[$-10409]#,##0.0;\-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20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7"/>
      <color rgb="FFFFFFFF"/>
      <name val="Calibri"/>
      <family val="2"/>
    </font>
    <font>
      <i/>
      <sz val="7"/>
      <color rgb="FFFFFFFF"/>
      <name val="Calibri"/>
      <family val="2"/>
    </font>
    <font>
      <sz val="10"/>
      <name val="Courier New"/>
      <family val="3"/>
    </font>
    <font>
      <sz val="10"/>
      <color theme="1"/>
      <name val="Courier New"/>
      <family val="3"/>
    </font>
    <font>
      <b/>
      <sz val="8"/>
      <color rgb="FF000000"/>
      <name val="Calibri"/>
      <family val="2"/>
    </font>
    <font>
      <b/>
      <sz val="7"/>
      <color rgb="FF000000"/>
      <name val="Calibri"/>
      <family val="2"/>
    </font>
    <font>
      <b/>
      <i/>
      <sz val="8"/>
      <color rgb="FF000000"/>
      <name val="Calibri"/>
      <family val="2"/>
    </font>
    <font>
      <b/>
      <sz val="10"/>
      <color rgb="FFFFFFFF"/>
      <name val="Calibri"/>
      <family val="2"/>
    </font>
    <font>
      <b/>
      <i/>
      <sz val="8"/>
      <color rgb="FFFFFF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3DFF5"/>
        <bgColor rgb="FFB3DFF5"/>
      </patternFill>
    </fill>
    <fill>
      <patternFill patternType="solid">
        <fgColor rgb="FF17536F"/>
        <bgColor rgb="FF17536F"/>
      </patternFill>
    </fill>
    <fill>
      <patternFill patternType="solid">
        <fgColor rgb="FFD3D3D3"/>
        <bgColor rgb="FFD3D3D3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7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2" fillId="0" borderId="0" xfId="0" applyFont="1"/>
    <xf numFmtId="43" fontId="1" fillId="0" borderId="0" xfId="1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2" fillId="0" borderId="3" xfId="0" applyFont="1" applyBorder="1"/>
    <xf numFmtId="43" fontId="2" fillId="0" borderId="3" xfId="1" applyFont="1" applyBorder="1" applyAlignment="1">
      <alignment horizontal="center"/>
    </xf>
    <xf numFmtId="4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1" pivotButton="1" applyFont="1"/>
    <xf numFmtId="43" fontId="0" fillId="0" borderId="0" xfId="1" applyFont="1"/>
    <xf numFmtId="0" fontId="4" fillId="2" borderId="0" xfId="2" applyFont="1" applyFill="1" applyAlignment="1">
      <alignment vertical="top" wrapText="1"/>
    </xf>
    <xf numFmtId="0" fontId="4" fillId="0" borderId="0" xfId="2" applyFont="1"/>
    <xf numFmtId="0" fontId="11" fillId="4" borderId="4" xfId="2" applyFont="1" applyFill="1" applyBorder="1" applyAlignment="1">
      <alignment horizontal="center" vertical="top" wrapText="1" readingOrder="1"/>
    </xf>
    <xf numFmtId="0" fontId="11" fillId="4" borderId="5" xfId="2" applyFont="1" applyFill="1" applyBorder="1" applyAlignment="1">
      <alignment horizontal="center" vertical="top" wrapText="1" readingOrder="1"/>
    </xf>
    <xf numFmtId="0" fontId="11" fillId="4" borderId="7" xfId="2" applyFont="1" applyFill="1" applyBorder="1" applyAlignment="1">
      <alignment horizontal="center" vertical="top" wrapText="1" readingOrder="1"/>
    </xf>
    <xf numFmtId="0" fontId="11" fillId="0" borderId="4" xfId="2" applyFont="1" applyBorder="1" applyAlignment="1">
      <alignment horizontal="center" vertical="top" wrapText="1" readingOrder="1"/>
    </xf>
    <xf numFmtId="0" fontId="11" fillId="0" borderId="5" xfId="2" applyFont="1" applyBorder="1" applyAlignment="1">
      <alignment horizontal="center" vertical="top" wrapText="1" readingOrder="1"/>
    </xf>
    <xf numFmtId="0" fontId="11" fillId="0" borderId="7" xfId="2" applyFont="1" applyBorder="1" applyAlignment="1">
      <alignment horizontal="center" vertical="top" wrapText="1" readingOrder="1"/>
    </xf>
    <xf numFmtId="0" fontId="15" fillId="2" borderId="4" xfId="2" applyFont="1" applyFill="1" applyBorder="1" applyAlignment="1">
      <alignment horizontal="center" vertical="top" wrapText="1" readingOrder="1"/>
    </xf>
    <xf numFmtId="0" fontId="15" fillId="2" borderId="5" xfId="2" applyFont="1" applyFill="1" applyBorder="1" applyAlignment="1">
      <alignment horizontal="center" vertical="top" wrapText="1" readingOrder="1"/>
    </xf>
    <xf numFmtId="0" fontId="15" fillId="2" borderId="7" xfId="2" applyFont="1" applyFill="1" applyBorder="1" applyAlignment="1">
      <alignment horizontal="center" vertical="top" wrapText="1" readingOrder="1"/>
    </xf>
    <xf numFmtId="0" fontId="11" fillId="2" borderId="4" xfId="2" applyFont="1" applyFill="1" applyBorder="1" applyAlignment="1">
      <alignment horizontal="center" vertical="top" wrapText="1" readingOrder="1"/>
    </xf>
    <xf numFmtId="0" fontId="11" fillId="2" borderId="5" xfId="2" applyFont="1" applyFill="1" applyBorder="1" applyAlignment="1">
      <alignment horizontal="center" vertical="top" wrapText="1" readingOrder="1"/>
    </xf>
    <xf numFmtId="0" fontId="11" fillId="2" borderId="7" xfId="2" applyFont="1" applyFill="1" applyBorder="1" applyAlignment="1">
      <alignment horizontal="center" vertical="top" wrapText="1" readingOrder="1"/>
    </xf>
    <xf numFmtId="165" fontId="16" fillId="2" borderId="4" xfId="2" applyNumberFormat="1" applyFont="1" applyFill="1" applyBorder="1" applyAlignment="1">
      <alignment horizontal="center" vertical="top" wrapText="1" readingOrder="1"/>
    </xf>
    <xf numFmtId="0" fontId="16" fillId="2" borderId="5" xfId="2" applyFont="1" applyFill="1" applyBorder="1" applyAlignment="1">
      <alignment horizontal="center" vertical="top" wrapText="1" readingOrder="1"/>
    </xf>
    <xf numFmtId="165" fontId="16" fillId="2" borderId="5" xfId="2" applyNumberFormat="1" applyFont="1" applyFill="1" applyBorder="1" applyAlignment="1">
      <alignment horizontal="center" vertical="top" wrapText="1" readingOrder="1"/>
    </xf>
    <xf numFmtId="165" fontId="16" fillId="2" borderId="7" xfId="2" applyNumberFormat="1" applyFont="1" applyFill="1" applyBorder="1" applyAlignment="1">
      <alignment horizontal="center" vertical="top" wrapText="1" readingOrder="1"/>
    </xf>
    <xf numFmtId="165" fontId="16" fillId="0" borderId="4" xfId="2" applyNumberFormat="1" applyFont="1" applyBorder="1" applyAlignment="1">
      <alignment horizontal="center" vertical="center" wrapText="1" readingOrder="1"/>
    </xf>
    <xf numFmtId="166" fontId="16" fillId="0" borderId="5" xfId="2" applyNumberFormat="1" applyFont="1" applyBorder="1" applyAlignment="1">
      <alignment horizontal="center" vertical="center" wrapText="1" readingOrder="1"/>
    </xf>
    <xf numFmtId="165" fontId="16" fillId="0" borderId="5" xfId="2" applyNumberFormat="1" applyFont="1" applyBorder="1" applyAlignment="1">
      <alignment horizontal="center" vertical="center" wrapText="1" readingOrder="1"/>
    </xf>
    <xf numFmtId="165" fontId="16" fillId="0" borderId="7" xfId="2" applyNumberFormat="1" applyFont="1" applyBorder="1" applyAlignment="1">
      <alignment horizontal="center" vertical="center" wrapText="1" readingOrder="1"/>
    </xf>
    <xf numFmtId="0" fontId="16" fillId="0" borderId="5" xfId="2" applyFont="1" applyBorder="1" applyAlignment="1">
      <alignment horizontal="center" vertical="center" wrapText="1" readingOrder="1"/>
    </xf>
    <xf numFmtId="165" fontId="15" fillId="5" borderId="4" xfId="2" applyNumberFormat="1" applyFont="1" applyFill="1" applyBorder="1" applyAlignment="1">
      <alignment horizontal="center" vertical="center" wrapText="1" readingOrder="1"/>
    </xf>
    <xf numFmtId="166" fontId="15" fillId="5" borderId="5" xfId="2" applyNumberFormat="1" applyFont="1" applyFill="1" applyBorder="1" applyAlignment="1">
      <alignment horizontal="center" vertical="center" wrapText="1" readingOrder="1"/>
    </xf>
    <xf numFmtId="165" fontId="15" fillId="5" borderId="5" xfId="2" applyNumberFormat="1" applyFont="1" applyFill="1" applyBorder="1" applyAlignment="1">
      <alignment horizontal="center" vertical="center" wrapText="1" readingOrder="1"/>
    </xf>
    <xf numFmtId="165" fontId="15" fillId="5" borderId="7" xfId="2" applyNumberFormat="1" applyFont="1" applyFill="1" applyBorder="1" applyAlignment="1">
      <alignment horizontal="center" vertical="center" wrapText="1" readingOrder="1"/>
    </xf>
    <xf numFmtId="0" fontId="15" fillId="5" borderId="8" xfId="2" applyFont="1" applyFill="1" applyBorder="1" applyAlignment="1">
      <alignment horizontal="center" vertical="center" wrapText="1" readingOrder="1"/>
    </xf>
    <xf numFmtId="165" fontId="15" fillId="5" borderId="8" xfId="2" applyNumberFormat="1" applyFont="1" applyFill="1" applyBorder="1" applyAlignment="1">
      <alignment horizontal="center" vertical="center" wrapText="1" readingOrder="1"/>
    </xf>
    <xf numFmtId="165" fontId="19" fillId="4" borderId="4" xfId="2" applyNumberFormat="1" applyFont="1" applyFill="1" applyBorder="1" applyAlignment="1">
      <alignment horizontal="center" vertical="center" wrapText="1" readingOrder="1"/>
    </xf>
    <xf numFmtId="0" fontId="19" fillId="4" borderId="4" xfId="2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3" fontId="2" fillId="0" borderId="0" xfId="1" applyFont="1" applyAlignment="1">
      <alignment horizontal="center"/>
    </xf>
    <xf numFmtId="0" fontId="4" fillId="0" borderId="0" xfId="2" applyFont="1"/>
    <xf numFmtId="0" fontId="5" fillId="0" borderId="0" xfId="2" applyFont="1" applyAlignment="1">
      <alignment horizontal="right" vertical="top" wrapText="1" readingOrder="1"/>
    </xf>
    <xf numFmtId="0" fontId="6" fillId="0" borderId="0" xfId="2" applyFont="1" applyAlignment="1">
      <alignment horizontal="center" vertical="top" wrapText="1" readingOrder="1"/>
    </xf>
    <xf numFmtId="0" fontId="7" fillId="0" borderId="0" xfId="2" applyFont="1" applyAlignment="1">
      <alignment horizontal="center" vertical="top" wrapText="1" readingOrder="1"/>
    </xf>
    <xf numFmtId="0" fontId="8" fillId="0" borderId="0" xfId="2" applyFont="1" applyAlignment="1">
      <alignment horizontal="center" vertical="top" wrapText="1" readingOrder="1"/>
    </xf>
    <xf numFmtId="0" fontId="9" fillId="2" borderId="0" xfId="2" applyFont="1" applyFill="1" applyAlignment="1">
      <alignment horizontal="left" vertical="top" wrapText="1" readingOrder="1"/>
    </xf>
    <xf numFmtId="0" fontId="10" fillId="5" borderId="4" xfId="2" applyFont="1" applyFill="1" applyBorder="1" applyAlignment="1">
      <alignment horizontal="center" vertical="center" wrapText="1" readingOrder="1"/>
    </xf>
    <xf numFmtId="0" fontId="4" fillId="0" borderId="5" xfId="2" applyFont="1" applyBorder="1" applyAlignment="1">
      <alignment vertical="top" wrapText="1"/>
    </xf>
    <xf numFmtId="0" fontId="9" fillId="0" borderId="4" xfId="2" applyFont="1" applyBorder="1" applyAlignment="1">
      <alignment horizontal="left" vertical="top" wrapText="1" readingOrder="1"/>
    </xf>
    <xf numFmtId="0" fontId="11" fillId="0" borderId="6" xfId="2" applyFont="1" applyBorder="1" applyAlignment="1">
      <alignment horizontal="center" vertical="top" wrapText="1" readingOrder="1"/>
    </xf>
    <xf numFmtId="0" fontId="4" fillId="0" borderId="7" xfId="2" applyFont="1" applyBorder="1" applyAlignment="1">
      <alignment vertical="top" wrapText="1"/>
    </xf>
    <xf numFmtId="0" fontId="13" fillId="2" borderId="4" xfId="2" applyFont="1" applyFill="1" applyBorder="1" applyAlignment="1">
      <alignment horizontal="left" vertical="top" wrapText="1" readingOrder="1"/>
    </xf>
    <xf numFmtId="0" fontId="11" fillId="2" borderId="6" xfId="2" applyFont="1" applyFill="1" applyBorder="1" applyAlignment="1">
      <alignment horizontal="center" vertical="top" wrapText="1" readingOrder="1"/>
    </xf>
    <xf numFmtId="0" fontId="5" fillId="2" borderId="4" xfId="2" applyFont="1" applyFill="1" applyBorder="1" applyAlignment="1">
      <alignment horizontal="right" vertical="top" wrapText="1" readingOrder="1"/>
    </xf>
    <xf numFmtId="165" fontId="16" fillId="2" borderId="6" xfId="2" applyNumberFormat="1" applyFont="1" applyFill="1" applyBorder="1" applyAlignment="1">
      <alignment horizontal="center" vertical="top" wrapText="1" readingOrder="1"/>
    </xf>
    <xf numFmtId="0" fontId="10" fillId="3" borderId="4" xfId="2" applyFont="1" applyFill="1" applyBorder="1" applyAlignment="1">
      <alignment horizontal="left" vertical="top" wrapText="1" readingOrder="1"/>
    </xf>
    <xf numFmtId="0" fontId="10" fillId="3" borderId="6" xfId="2" applyFont="1" applyFill="1" applyBorder="1" applyAlignment="1">
      <alignment horizontal="center" vertical="top" wrapText="1" readingOrder="1"/>
    </xf>
    <xf numFmtId="0" fontId="11" fillId="4" borderId="4" xfId="2" applyFont="1" applyFill="1" applyBorder="1" applyAlignment="1">
      <alignment horizontal="left" vertical="top" wrapText="1" readingOrder="1"/>
    </xf>
    <xf numFmtId="0" fontId="11" fillId="4" borderId="6" xfId="2" applyFont="1" applyFill="1" applyBorder="1" applyAlignment="1">
      <alignment horizontal="center" vertical="top" wrapText="1" readingOrder="1"/>
    </xf>
    <xf numFmtId="0" fontId="15" fillId="0" borderId="4" xfId="2" applyFont="1" applyBorder="1" applyAlignment="1">
      <alignment horizontal="right" vertical="center" wrapText="1" readingOrder="1"/>
    </xf>
    <xf numFmtId="166" fontId="16" fillId="0" borderId="6" xfId="2" applyNumberFormat="1" applyFont="1" applyBorder="1" applyAlignment="1">
      <alignment horizontal="center" vertical="center" wrapText="1" readingOrder="1"/>
    </xf>
    <xf numFmtId="0" fontId="9" fillId="5" borderId="4" xfId="2" applyFont="1" applyFill="1" applyBorder="1" applyAlignment="1">
      <alignment horizontal="right" vertical="center" wrapText="1" readingOrder="1"/>
    </xf>
    <xf numFmtId="165" fontId="15" fillId="5" borderId="6" xfId="2" applyNumberFormat="1" applyFont="1" applyFill="1" applyBorder="1" applyAlignment="1">
      <alignment horizontal="center" vertical="center" wrapText="1" readingOrder="1"/>
    </xf>
    <xf numFmtId="0" fontId="17" fillId="0" borderId="4" xfId="2" applyFont="1" applyBorder="1" applyAlignment="1">
      <alignment horizontal="right" vertical="center" wrapText="1" readingOrder="1"/>
    </xf>
    <xf numFmtId="0" fontId="18" fillId="4" borderId="4" xfId="2" applyFont="1" applyFill="1" applyBorder="1" applyAlignment="1">
      <alignment horizontal="right" vertical="center" wrapText="1" readingOrder="1"/>
    </xf>
    <xf numFmtId="165" fontId="19" fillId="4" borderId="4" xfId="2" applyNumberFormat="1" applyFont="1" applyFill="1" applyBorder="1" applyAlignment="1">
      <alignment horizontal="center" vertical="center" wrapText="1" readingOrder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dy Coleman" refreshedDate="45341.55733009259" createdVersion="8" refreshedVersion="8" minRefreshableVersion="3" recordCount="323">
  <cacheSource type="worksheet">
    <worksheetSource ref="A1:AF324" sheet="Claims Detail Aug-Dec 2023"/>
  </cacheSource>
  <cacheFields count="41">
    <cacheField name="RegionName" numFmtId="0">
      <sharedItems/>
    </cacheField>
    <cacheField name="SiteName" numFmtId="0">
      <sharedItems/>
    </cacheField>
    <cacheField name="DepartmentName" numFmtId="0">
      <sharedItems/>
    </cacheField>
    <cacheField name="TPA_PatientId" numFmtId="0">
      <sharedItems containsSemiMixedTypes="0" containsString="0" containsNumber="1" containsInteger="1" minValue="1940551" maxValue="7326247"/>
    </cacheField>
    <cacheField name="ERMA_PatientId" numFmtId="0">
      <sharedItems/>
    </cacheField>
    <cacheField name="DOB" numFmtId="14">
      <sharedItems containsSemiMixedTypes="0" containsNonDate="0" containsDate="1" containsString="0" minDate="1947-06-02T00:00:00" maxDate="2005-12-03T00:00:00"/>
    </cacheField>
    <cacheField name="PatientType" numFmtId="0">
      <sharedItems containsNonDate="0" containsString="0" containsBlank="1"/>
    </cacheField>
    <cacheField name="PatientName" numFmtId="0">
      <sharedItems/>
    </cacheField>
    <cacheField name="ProviderName" numFmtId="0">
      <sharedItems/>
    </cacheField>
    <cacheField name="TaxID" numFmtId="0">
      <sharedItems containsSemiMixedTypes="0" containsString="0" containsNumber="1" containsInteger="1" minValue="204923281" maxValue="920366567"/>
    </cacheField>
    <cacheField name="ApptId" numFmtId="0">
      <sharedItems containsSemiMixedTypes="0" containsString="0" containsNumber="1" containsInteger="1" minValue="28928196" maxValue="30218508"/>
    </cacheField>
    <cacheField name="FDOS" numFmtId="14">
      <sharedItems containsSemiMixedTypes="0" containsNonDate="0" containsDate="1" containsString="0" minDate="2023-08-03T00:00:00" maxDate="2023-11-24T00:00:00"/>
    </cacheField>
    <cacheField name="TDOS" numFmtId="14">
      <sharedItems containsSemiMixedTypes="0" containsNonDate="0" containsDate="1" containsString="0" minDate="2023-08-03T00:00:00" maxDate="2023-11-24T00:00:00"/>
    </cacheField>
    <cacheField name="ServiceDays" numFmtId="0">
      <sharedItems containsSemiMixedTypes="0" containsString="0" containsNumber="1" containsInteger="1" minValue="1" maxValue="5"/>
    </cacheField>
    <cacheField name="ReceivedDate" numFmtId="14">
      <sharedItems containsSemiMixedTypes="0" containsNonDate="0" containsDate="1" containsString="0" minDate="2023-09-13T00:00:00" maxDate="2023-12-12T00:00:00"/>
    </cacheField>
    <cacheField name="PayDate" numFmtId="14">
      <sharedItems containsSemiMixedTypes="0" containsNonDate="0" containsDate="1" containsString="0" minDate="2023-10-04T00:00:00" maxDate="2023-12-14T00:00:00" count="10">
        <d v="2023-11-15T00:00:00"/>
        <d v="2023-12-13T00:00:00"/>
        <d v="2023-11-01T00:00:00"/>
        <d v="2023-11-08T00:00:00"/>
        <d v="2023-10-04T00:00:00"/>
        <d v="2023-10-25T00:00:00"/>
        <d v="2023-11-29T00:00:00"/>
        <d v="2023-12-06T00:00:00"/>
        <d v="2023-11-22T00:00:00"/>
        <d v="2023-10-10T00:00:00"/>
      </sharedItems>
      <fieldGroup par="40"/>
    </cacheField>
    <cacheField name="DaysToPay" numFmtId="0">
      <sharedItems containsSemiMixedTypes="0" containsString="0" containsNumber="1" containsInteger="1" minValue="2" maxValue="68"/>
    </cacheField>
    <cacheField name="PayStartDate" numFmtId="14">
      <sharedItems containsSemiMixedTypes="0" containsNonDate="0" containsDate="1" containsString="0" minDate="2023-08-01T00:00:00" maxDate="2023-08-02T00:00:00"/>
    </cacheField>
    <cacheField name="PayEndDate" numFmtId="14">
      <sharedItems containsSemiMixedTypes="0" containsNonDate="0" containsDate="1" containsString="0" minDate="2023-12-31T00:00:00" maxDate="2024-01-01T00:00:00"/>
    </cacheField>
    <cacheField name="CPTCode" numFmtId="0">
      <sharedItems containsBlank="1" containsMixedTypes="1" containsNumber="1" containsInteger="1" minValue="862" maxValue="99316"/>
    </cacheField>
    <cacheField name="CPTCodeDesc" numFmtId="0">
      <sharedItems containsBlank="1"/>
    </cacheField>
    <cacheField name="TreatmentTypeName" numFmtId="0">
      <sharedItems count="6">
        <s v="EMERGENCY ROOM"/>
        <s v="OFFICE VISITS"/>
        <s v="ONE DAY SURGERY"/>
        <s v="INPATIENT HOSPITALIZATION"/>
        <s v="RADIOLOGY"/>
        <s v="OFFICE VISITS WITH PROCEDURES"/>
      </sharedItems>
    </cacheField>
    <cacheField name="SpecialityName" numFmtId="0">
      <sharedItems/>
    </cacheField>
    <cacheField name="Charge" numFmtId="0">
      <sharedItems containsSemiMixedTypes="0" containsString="0" containsNumber="1" minValue="7.4" maxValue="80563.12"/>
    </cacheField>
    <cacheField name="Ineligible" numFmtId="0">
      <sharedItems containsSemiMixedTypes="0" containsString="0" containsNumber="1" minValue="0" maxValue="55223.25"/>
    </cacheField>
    <cacheField name="Discount" numFmtId="0">
      <sharedItems containsSemiMixedTypes="0" containsString="0" containsNumber="1" minValue="0" maxValue="49949.13"/>
    </cacheField>
    <cacheField name="Paid" numFmtId="0">
      <sharedItems containsSemiMixedTypes="0" containsString="0" containsNumber="1" minValue="0" maxValue="30613.99"/>
    </cacheField>
    <cacheField name="DiscPercent" numFmtId="10">
      <sharedItems containsSemiMixedTypes="0" containsString="0" containsNumber="1" minValue="0" maxValue="1"/>
    </cacheField>
    <cacheField name="ClaimStatus" numFmtId="0">
      <sharedItems/>
    </cacheField>
    <cacheField name="ClaimNumber" numFmtId="0">
      <sharedItems containsSemiMixedTypes="0" containsString="0" containsNumber="1" containsInteger="1" minValue="223282651" maxValue="223411568"/>
    </cacheField>
    <cacheField name="DCN_TIFF" numFmtId="0">
      <sharedItems containsMixedTypes="1" containsNumber="1" containsInteger="1" minValue="90723201369213" maxValue="112123790818726"/>
    </cacheField>
    <cacheField name="TPA" numFmtId="0">
      <sharedItems/>
    </cacheField>
    <cacheField name="ICD_Code" numFmtId="0">
      <sharedItems containsBlank="1"/>
    </cacheField>
    <cacheField name="ICD_Description" numFmtId="0">
      <sharedItems containsBlank="1"/>
    </cacheField>
    <cacheField name="TypeOfBill" numFmtId="0">
      <sharedItems containsSemiMixedTypes="0" containsString="0" containsNumber="1" containsInteger="1" minValue="0" maxValue="131"/>
    </cacheField>
    <cacheField name="BillingDrg" numFmtId="0">
      <sharedItems containsString="0" containsBlank="1" containsNumber="1" containsInteger="1" minValue="101" maxValue="871"/>
    </cacheField>
    <cacheField name="ClaimType" numFmtId="0">
      <sharedItems/>
    </cacheField>
    <cacheField name="PlaceOfService" numFmtId="0">
      <sharedItems containsSemiMixedTypes="0" containsString="0" containsNumber="1" containsInteger="1" minValue="0" maxValue="41"/>
    </cacheField>
    <cacheField name="Match" numFmtId="0">
      <sharedItems containsNonDate="0" containsString="0" containsBlank="1"/>
    </cacheField>
    <cacheField name="Days (PayDate)" numFmtId="0" databaseField="0">
      <fieldGroup base="15">
        <rangePr groupBy="days" startDate="2023-10-04T00:00:00" endDate="2023-12-14T00:00:00"/>
        <groupItems count="368">
          <s v="&lt;10/4/2023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2/14/2023"/>
        </groupItems>
      </fieldGroup>
    </cacheField>
    <cacheField name="Months (PayDate)" numFmtId="0" databaseField="0">
      <fieldGroup base="15">
        <rangePr groupBy="months" startDate="2023-10-04T00:00:00" endDate="2023-12-14T00:00:00"/>
        <groupItems count="14">
          <s v="&lt;10/4/2023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14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3">
  <r>
    <s v="Jails"/>
    <s v="Fort Bend County Jail, TX"/>
    <s v="Fort Bend County Jail   (0131)"/>
    <n v="6190845"/>
    <s v="P00242170"/>
    <d v="1958-03-20T00:00:00"/>
    <m/>
    <s v="TURNER, EARL"/>
    <s v="CLEAR LAKE PRIMARY CARE PLLC"/>
    <n v="460796181"/>
    <n v="29241234"/>
    <d v="2023-09-01T00:00:00"/>
    <d v="2023-09-01T00:00:00"/>
    <n v="1"/>
    <d v="2023-10-31T00:00:00"/>
    <x v="0"/>
    <n v="15"/>
    <d v="2023-08-01T00:00:00"/>
    <d v="2023-12-31T00:00:00"/>
    <n v="99308"/>
    <s v="NURSING FAC CARE SUBSEQ"/>
    <x v="0"/>
    <s v="Emergency Medicine"/>
    <n v="224"/>
    <n v="0"/>
    <n v="186.98"/>
    <n v="37.020000000000003"/>
    <n v="0.8347"/>
    <s v="Paid"/>
    <n v="223348695"/>
    <s v="HCS120231030274043"/>
    <s v="HCS"/>
    <s v="R47.1"/>
    <s v="Dysarthria and anarthria"/>
    <n v="0"/>
    <m/>
    <s v="H"/>
    <n v="31"/>
    <m/>
  </r>
  <r>
    <s v="Jails"/>
    <s v="Fort Bend County Jail, TX"/>
    <s v="Fort Bend County Jail   (0131)"/>
    <n v="6190845"/>
    <s v="P00242170"/>
    <d v="1958-03-20T00:00:00"/>
    <m/>
    <s v="TURNER, EARL"/>
    <s v="CLEAR LAKE PRIMARY CARE PLLC"/>
    <n v="460796181"/>
    <n v="29241234"/>
    <d v="2023-09-02T00:00:00"/>
    <d v="2023-09-02T00:00:00"/>
    <n v="1"/>
    <d v="2023-10-31T00:00:00"/>
    <x v="0"/>
    <n v="15"/>
    <d v="2023-08-01T00:00:00"/>
    <d v="2023-12-31T00:00:00"/>
    <n v="99316"/>
    <s v="NURSING FAC DISCHARGE DAY"/>
    <x v="0"/>
    <s v="Emergency Medicine"/>
    <n v="395"/>
    <n v="0"/>
    <n v="330.69"/>
    <n v="64.31"/>
    <n v="0.83709999999999996"/>
    <s v="Paid"/>
    <n v="223348695"/>
    <s v="HCS120231030274043"/>
    <s v="HCS"/>
    <s v="R47.1"/>
    <s v="Dysarthria and anarthria"/>
    <n v="0"/>
    <m/>
    <s v="H"/>
    <n v="31"/>
    <m/>
  </r>
  <r>
    <s v="Jails"/>
    <s v="Fort Bend County Jail, TX"/>
    <s v="Fort Bend County Jail   (0131)"/>
    <n v="6190845"/>
    <s v="P00242170"/>
    <d v="1958-03-20T00:00:00"/>
    <m/>
    <s v="TURNER, EARL"/>
    <s v="CLEAR LAKE PRIMARY CARE PLLC"/>
    <n v="460796181"/>
    <n v="29241234"/>
    <d v="2023-08-31T00:00:00"/>
    <d v="2023-08-31T00:00:00"/>
    <n v="1"/>
    <d v="2023-11-01T00:00:00"/>
    <x v="0"/>
    <n v="14"/>
    <d v="2023-08-01T00:00:00"/>
    <d v="2023-12-31T00:00:00"/>
    <n v="99305"/>
    <s v="NURSING FACILITY CARE INIT"/>
    <x v="0"/>
    <s v="Emergency Medicine"/>
    <n v="401"/>
    <n v="0"/>
    <n v="347.36"/>
    <n v="53.64"/>
    <n v="0.86619999999999997"/>
    <s v="Paid"/>
    <n v="223350462"/>
    <s v="HCS120231031255046"/>
    <s v="HCS"/>
    <s v="R47.1"/>
    <s v="Dysarthria and anarthria"/>
    <n v="0"/>
    <m/>
    <s v="H"/>
    <n v="31"/>
    <m/>
  </r>
  <r>
    <s v="Jails"/>
    <s v="Fort Bend County Jail, TX"/>
    <s v="Fort Bend County Jail   (0131)"/>
    <n v="6190845"/>
    <s v="P00242170"/>
    <d v="1958-03-20T00:00:00"/>
    <m/>
    <s v="TURNER, EARL"/>
    <s v="CLEAR LAKE PRIMARY CARE PLLC"/>
    <n v="460796181"/>
    <n v="29241234"/>
    <d v="2023-09-01T00:00:00"/>
    <d v="2023-09-01T00:00:00"/>
    <n v="1"/>
    <d v="2023-12-07T00:00:00"/>
    <x v="1"/>
    <n v="6"/>
    <d v="2023-08-01T00:00:00"/>
    <d v="2023-12-31T00:00:00"/>
    <n v="99232"/>
    <s v="SUBSEQUENT HOSPITAL CARE"/>
    <x v="0"/>
    <s v="Emergency Medicine"/>
    <n v="224"/>
    <n v="0"/>
    <n v="178.52"/>
    <n v="45.48"/>
    <n v="0.79690000000000005"/>
    <s v="Paid"/>
    <n v="223405990"/>
    <s v="HCS120231206251013"/>
    <s v="HCS"/>
    <s v="R47.1"/>
    <s v="Dysarthria and anarthria"/>
    <n v="0"/>
    <m/>
    <s v="H"/>
    <n v="21"/>
    <m/>
  </r>
  <r>
    <s v="Jails"/>
    <s v="Fort Bend County Jail, TX"/>
    <s v="Fort Bend County Jail   (0131)"/>
    <n v="6190845"/>
    <s v="P00242170"/>
    <d v="1958-03-20T00:00:00"/>
    <m/>
    <s v="TURNER, EARL"/>
    <s v="CLEAR LAKE PRIMARY CARE PLLC"/>
    <n v="460796181"/>
    <n v="29241234"/>
    <d v="2023-09-02T00:00:00"/>
    <d v="2023-09-02T00:00:00"/>
    <n v="1"/>
    <d v="2023-12-07T00:00:00"/>
    <x v="1"/>
    <n v="6"/>
    <d v="2023-08-01T00:00:00"/>
    <d v="2023-12-31T00:00:00"/>
    <n v="99239"/>
    <s v="HOSPITAL DISCHARGE DAY"/>
    <x v="0"/>
    <s v="Emergency Medicine"/>
    <n v="395"/>
    <n v="0"/>
    <n v="322.85000000000002"/>
    <n v="72.150000000000006"/>
    <n v="0.81730000000000003"/>
    <s v="Paid"/>
    <n v="223405990"/>
    <s v="HCS120231206251013"/>
    <s v="HCS"/>
    <s v="R47.1"/>
    <s v="Dysarthria and anarthria"/>
    <n v="0"/>
    <m/>
    <s v="H"/>
    <n v="21"/>
    <m/>
  </r>
  <r>
    <s v="Jails"/>
    <s v="Fort Bend County Jail, TX"/>
    <s v="Fort Bend County Jail   (0131)"/>
    <n v="6190845"/>
    <s v="P00242170"/>
    <d v="1958-03-20T00:00:00"/>
    <m/>
    <s v="TURNER, EARL"/>
    <s v="CLEAR LAKE PRIMARY CARE PLLC"/>
    <n v="460796181"/>
    <n v="29241234"/>
    <d v="2023-08-31T00:00:00"/>
    <d v="2023-08-31T00:00:00"/>
    <n v="1"/>
    <d v="2023-12-07T00:00:00"/>
    <x v="1"/>
    <n v="6"/>
    <d v="2023-08-01T00:00:00"/>
    <d v="2023-12-31T00:00:00"/>
    <n v="99222"/>
    <s v="INITIAL HOSPITAL CARE"/>
    <x v="0"/>
    <s v="Emergency Medicine"/>
    <n v="401"/>
    <n v="0"/>
    <n v="305.95"/>
    <n v="95.05"/>
    <n v="0.76290000000000002"/>
    <s v="Paid"/>
    <n v="223405995"/>
    <s v="HCS120231206251012"/>
    <s v="HCS"/>
    <s v="R47.1"/>
    <s v="Dysarthria and anarthria"/>
    <n v="0"/>
    <m/>
    <s v="H"/>
    <n v="21"/>
    <m/>
  </r>
  <r>
    <s v="Jails"/>
    <s v="Fort Bend County Jail, TX"/>
    <s v="Fort Bend County Jail   (0131)"/>
    <n v="5159716"/>
    <s v="P00233787"/>
    <d v="2002-08-11T00:00:00"/>
    <m/>
    <s v="GAINES, JAIDEN"/>
    <s v="COMPLETE DERMATOLOGY"/>
    <n v="331200154"/>
    <n v="29449045"/>
    <d v="2023-09-25T00:00:00"/>
    <d v="2023-09-25T00:00:00"/>
    <n v="1"/>
    <d v="2023-10-19T00:00:00"/>
    <x v="2"/>
    <n v="13"/>
    <d v="2023-08-01T00:00:00"/>
    <d v="2023-12-31T00:00:00"/>
    <n v="99214"/>
    <s v="OFFICE/OUTPATIENT VISIT EST"/>
    <x v="1"/>
    <s v="Dermatology"/>
    <n v="253.23"/>
    <n v="0"/>
    <n v="128.87"/>
    <n v="124.36"/>
    <n v="0.50890000000000002"/>
    <s v="Paid"/>
    <n v="223333068"/>
    <n v="101123727015158"/>
    <s v="HCS"/>
    <s v="R21"/>
    <s v="Rash and other nonspecific skin eruption"/>
    <n v="0"/>
    <m/>
    <s v="H"/>
    <n v="11"/>
    <m/>
  </r>
  <r>
    <s v="Jails"/>
    <s v="Fort Bend County Jail, TX"/>
    <s v="Fort Bend County Jail   (0131)"/>
    <n v="5159716"/>
    <s v="P00233787"/>
    <d v="2002-08-11T00:00:00"/>
    <m/>
    <s v="GAINES, JAIDEN"/>
    <s v="COMPLETE DERMATOLOGY"/>
    <n v="331200154"/>
    <n v="29449045"/>
    <d v="2023-09-25T00:00:00"/>
    <d v="2023-09-25T00:00:00"/>
    <n v="1"/>
    <d v="2023-10-19T00:00:00"/>
    <x v="2"/>
    <n v="13"/>
    <d v="2023-08-01T00:00:00"/>
    <d v="2023-12-31T00:00:00"/>
    <n v="11104"/>
    <m/>
    <x v="1"/>
    <s v="Dermatology"/>
    <n v="275"/>
    <n v="0"/>
    <n v="152.55000000000001"/>
    <n v="122.45"/>
    <n v="0.55469999999999997"/>
    <s v="Paid"/>
    <n v="223333068"/>
    <n v="101123727015158"/>
    <s v="HCS"/>
    <s v="R21"/>
    <s v="Rash and other nonspecific skin eruption"/>
    <n v="0"/>
    <m/>
    <s v="H"/>
    <n v="11"/>
    <m/>
  </r>
  <r>
    <s v="Jails"/>
    <s v="Fort Bend County Jail, TX"/>
    <s v="Fort Bend County Jail   (0131)"/>
    <n v="4760720"/>
    <s v="P00230508"/>
    <d v="1987-02-22T00:00:00"/>
    <m/>
    <s v="JOHN, TIFFANY"/>
    <s v="FMR INC"/>
    <n v="208993021"/>
    <n v="29695997"/>
    <d v="2023-10-16T00:00:00"/>
    <d v="2023-10-16T00:00:00"/>
    <n v="1"/>
    <d v="2023-10-27T00:00:00"/>
    <x v="0"/>
    <n v="19"/>
    <d v="2023-08-01T00:00:00"/>
    <d v="2023-12-31T00:00:00"/>
    <s v="A0427"/>
    <s v="AMBULANCE SERVICE, ADVANCED LIFE SUPPORT"/>
    <x v="0"/>
    <s v="Emergency Medicine"/>
    <n v="1750"/>
    <n v="0"/>
    <n v="1464.72"/>
    <n v="285.27999999999997"/>
    <n v="0.83689999999999998"/>
    <s v="Paid"/>
    <n v="223345013"/>
    <s v="HE20231026017032"/>
    <s v="HCS"/>
    <s v="A41.9"/>
    <s v="Sepsis, unspecified organism"/>
    <n v="0"/>
    <m/>
    <s v="H"/>
    <n v="41"/>
    <m/>
  </r>
  <r>
    <s v="Jails"/>
    <s v="Fort Bend County Jail, TX"/>
    <s v="Fort Bend County Jail   (0131)"/>
    <n v="4760720"/>
    <s v="P00230508"/>
    <d v="1987-02-22T00:00:00"/>
    <m/>
    <s v="JOHN, TIFFANY"/>
    <s v="FMR INC"/>
    <n v="208993021"/>
    <n v="29695997"/>
    <d v="2023-10-16T00:00:00"/>
    <d v="2023-10-16T00:00:00"/>
    <n v="1"/>
    <d v="2023-10-27T00:00:00"/>
    <x v="0"/>
    <n v="19"/>
    <d v="2023-08-01T00:00:00"/>
    <d v="2023-12-31T00:00:00"/>
    <s v="A0425"/>
    <s v="GROUND MILEAGE, PER STATUTE MILE"/>
    <x v="0"/>
    <s v="Emergency Medicine"/>
    <n v="660"/>
    <n v="0"/>
    <n v="400.84"/>
    <n v="259.16000000000003"/>
    <n v="0.60729999999999995"/>
    <s v="Paid"/>
    <n v="223345013"/>
    <s v="HE20231026017032"/>
    <s v="HCS"/>
    <s v="A41.9"/>
    <s v="Sepsis, unspecified organism"/>
    <n v="0"/>
    <m/>
    <s v="H"/>
    <n v="41"/>
    <m/>
  </r>
  <r>
    <s v="Jails"/>
    <s v="Fort Bend County Jail, TX"/>
    <s v="Fort Bend County Jail   (0131)"/>
    <n v="6782238"/>
    <s v="P00247757"/>
    <d v="1969-11-11T00:00:00"/>
    <m/>
    <s v="NUNEZ-CASTILLO, JUAN"/>
    <s v="GREATER HOUSTON ANESTHESIOLOGY PA"/>
    <n v="760482007"/>
    <n v="28983343"/>
    <d v="2023-09-19T00:00:00"/>
    <d v="2023-09-19T00:00:00"/>
    <n v="1"/>
    <d v="2023-10-20T00:00:00"/>
    <x v="3"/>
    <n v="19"/>
    <d v="2023-08-01T00:00:00"/>
    <d v="2023-12-31T00:00:00"/>
    <n v="862"/>
    <m/>
    <x v="2"/>
    <s v="Urology"/>
    <n v="4698"/>
    <n v="0"/>
    <n v="4430.4799999999996"/>
    <n v="267.52"/>
    <n v="0.94299999999999995"/>
    <s v="Paid"/>
    <n v="223333686"/>
    <s v="HCS120231018262017"/>
    <s v="HCS"/>
    <s v="N28.89"/>
    <s v="Other specified disorders of kidney and ureter"/>
    <n v="0"/>
    <m/>
    <s v="H"/>
    <n v="22"/>
    <m/>
  </r>
  <r>
    <s v="Jails"/>
    <s v="Fort Bend County Jail, TX"/>
    <s v="Fort Bend County Jail   (0131)"/>
    <n v="2570287"/>
    <s v="P00015411"/>
    <d v="1963-02-28T00:00:00"/>
    <m/>
    <s v="ARRANZA, RIGOBERTO"/>
    <s v="HOUSTON EYE ASSOCIATES"/>
    <n v="760512625"/>
    <n v="29384355"/>
    <d v="2023-09-12T00:00:00"/>
    <d v="2023-09-12T00:00:00"/>
    <n v="1"/>
    <d v="2023-09-18T00:00:00"/>
    <x v="4"/>
    <n v="16"/>
    <d v="2023-08-01T00:00:00"/>
    <d v="2023-12-31T00:00:00"/>
    <n v="92012"/>
    <s v="EYE EXAM ESTABLISH PATIENT"/>
    <x v="1"/>
    <s v="Ophthalmology"/>
    <n v="277"/>
    <n v="0"/>
    <n v="206.97"/>
    <n v="70.03"/>
    <n v="0.74709999999999999"/>
    <s v="Paid"/>
    <n v="223289429"/>
    <s v="HE20230915021188"/>
    <s v="HCS"/>
    <s v="H49.11"/>
    <s v="Fourth [trochlear] nerve palsy, right eye"/>
    <n v="0"/>
    <m/>
    <s v="H"/>
    <n v="11"/>
    <m/>
  </r>
  <r>
    <s v="Jails"/>
    <s v="Fort Bend County Jail, TX"/>
    <s v="Fort Bend County Jail   (0131)"/>
    <n v="2570287"/>
    <s v="P00015411"/>
    <d v="1963-02-28T00:00:00"/>
    <m/>
    <s v="ARRANZA, RIGOBERTO"/>
    <s v="HOUSTON EYE ASSOCIATES"/>
    <n v="760512625"/>
    <n v="29384355"/>
    <d v="2023-09-12T00:00:00"/>
    <d v="2023-09-12T00:00:00"/>
    <n v="1"/>
    <d v="2023-09-18T00:00:00"/>
    <x v="4"/>
    <n v="16"/>
    <d v="2023-08-01T00:00:00"/>
    <d v="2023-12-31T00:00:00"/>
    <n v="92015"/>
    <s v="DETERMINE REFRACTIVE STATE"/>
    <x v="1"/>
    <s v="Ophthalmology"/>
    <n v="59"/>
    <n v="0"/>
    <n v="43.5"/>
    <n v="15.5"/>
    <n v="0.73719999999999997"/>
    <s v="Paid"/>
    <n v="223289429"/>
    <s v="HE20230915021188"/>
    <s v="HCS"/>
    <s v="H49.11"/>
    <s v="Fourth [trochlear] nerve palsy, right eye"/>
    <n v="0"/>
    <m/>
    <s v="H"/>
    <n v="11"/>
    <m/>
  </r>
  <r>
    <s v="Jails"/>
    <s v="Fort Bend County Jail, TX"/>
    <s v="Fort Bend County Jail   (0131)"/>
    <n v="2570287"/>
    <s v="P00015411"/>
    <d v="1963-02-28T00:00:00"/>
    <m/>
    <s v="ARRANZA, RIGOBERTO"/>
    <s v="HOUSTON EYE ASSOCIATES"/>
    <n v="760512625"/>
    <n v="29384355"/>
    <d v="2023-09-12T00:00:00"/>
    <d v="2023-09-12T00:00:00"/>
    <n v="1"/>
    <d v="2023-09-18T00:00:00"/>
    <x v="4"/>
    <n v="16"/>
    <d v="2023-08-01T00:00:00"/>
    <d v="2023-12-31T00:00:00"/>
    <n v="92060"/>
    <s v="SPECIAL EYE EVALUATION"/>
    <x v="1"/>
    <s v="Ophthalmology"/>
    <n v="373"/>
    <n v="0"/>
    <n v="320.61"/>
    <n v="52.39"/>
    <n v="0.85950000000000004"/>
    <s v="Paid"/>
    <n v="223289429"/>
    <s v="HE20230915021188"/>
    <s v="HCS"/>
    <s v="H49.11"/>
    <s v="Fourth [trochlear] nerve palsy, right eye"/>
    <n v="0"/>
    <m/>
    <s v="H"/>
    <n v="11"/>
    <m/>
  </r>
  <r>
    <s v="Jails"/>
    <s v="Fort Bend County Jail, TX"/>
    <s v="Fort Bend County Jail   (0131)"/>
    <n v="3167888"/>
    <s v="P93001629"/>
    <d v="1965-12-28T00:00:00"/>
    <m/>
    <s v="HAMPTON, PATRICK"/>
    <s v="HOUSTON EYE ASSOCIATES"/>
    <n v="760512625"/>
    <n v="29244483"/>
    <d v="2023-09-22T00:00:00"/>
    <d v="2023-09-22T00:00:00"/>
    <n v="1"/>
    <d v="2023-09-28T00:00:00"/>
    <x v="5"/>
    <n v="27"/>
    <d v="2023-08-01T00:00:00"/>
    <d v="2023-12-31T00:00:00"/>
    <n v="92004"/>
    <s v="EYE EXAM NEW PATIENT"/>
    <x v="1"/>
    <s v="Ophthalmology"/>
    <n v="460"/>
    <n v="0"/>
    <n v="306.95"/>
    <n v="153.05000000000001"/>
    <n v="0.66720000000000002"/>
    <s v="Paid"/>
    <n v="223302161"/>
    <s v="HE20230927018049"/>
    <s v="HCS"/>
    <s v="H40.1134"/>
    <s v="Primary open-angle glaucoma, bilateral, indeterminate stage"/>
    <n v="0"/>
    <m/>
    <s v="H"/>
    <n v="11"/>
    <m/>
  </r>
  <r>
    <s v="Jails"/>
    <s v="Fort Bend County Jail, TX"/>
    <s v="Fort Bend County Jail   (0131)"/>
    <n v="7141839"/>
    <s v="P00251176"/>
    <d v="2005-03-15T00:00:00"/>
    <m/>
    <s v="WILLIAMS, JADEN"/>
    <s v="HOUSTON EYE ASSOCIATES"/>
    <n v="760512625"/>
    <n v="29169071"/>
    <d v="2023-10-03T00:00:00"/>
    <d v="2023-10-03T00:00:00"/>
    <n v="1"/>
    <d v="2023-10-10T00:00:00"/>
    <x v="5"/>
    <n v="15"/>
    <d v="2023-08-01T00:00:00"/>
    <d v="2023-12-31T00:00:00"/>
    <n v="92004"/>
    <s v="EYE EXAM NEW PATIENT"/>
    <x v="1"/>
    <s v="Ophthalmology"/>
    <n v="460"/>
    <n v="0"/>
    <n v="306.95"/>
    <n v="153.05000000000001"/>
    <n v="0.66720000000000002"/>
    <s v="Paid"/>
    <n v="223314389"/>
    <s v="HE20231006021102"/>
    <s v="HCS"/>
    <s v="R51.9"/>
    <m/>
    <n v="0"/>
    <m/>
    <s v="H"/>
    <n v="11"/>
    <m/>
  </r>
  <r>
    <s v="Jails"/>
    <s v="Fort Bend County Jail, TX"/>
    <s v="Fort Bend County Jail   (0131)"/>
    <n v="7141839"/>
    <s v="P00251176"/>
    <d v="2005-03-15T00:00:00"/>
    <m/>
    <s v="WILLIAMS, JADEN"/>
    <s v="HOUSTON EYE ASSOCIATES"/>
    <n v="760512625"/>
    <n v="29169071"/>
    <d v="2023-10-03T00:00:00"/>
    <d v="2023-10-03T00:00:00"/>
    <n v="1"/>
    <d v="2023-10-10T00:00:00"/>
    <x v="5"/>
    <n v="15"/>
    <d v="2023-08-01T00:00:00"/>
    <d v="2023-12-31T00:00:00"/>
    <n v="92015"/>
    <s v="DETERMINE REFRACTIVE STATE"/>
    <x v="1"/>
    <s v="Ophthalmology"/>
    <n v="59"/>
    <n v="0"/>
    <n v="47.2"/>
    <n v="11.8"/>
    <n v="0.8"/>
    <s v="Paid"/>
    <n v="223314389"/>
    <s v="HE20231006021102"/>
    <s v="HCS"/>
    <s v="R51.9"/>
    <m/>
    <n v="0"/>
    <m/>
    <s v="H"/>
    <n v="11"/>
    <m/>
  </r>
  <r>
    <s v="Jails"/>
    <s v="Fort Bend County Jail, TX"/>
    <s v="Fort Bend County Jail   (0131)"/>
    <n v="4013470"/>
    <s v="P00172986"/>
    <d v="1986-11-16T00:00:00"/>
    <m/>
    <s v="GREEN, VERNON"/>
    <s v="HOUSTON RADIOLOGY ASSOCIATED"/>
    <n v="741688740"/>
    <n v="29631482"/>
    <d v="2023-10-05T00:00:00"/>
    <d v="2023-10-05T00:00:00"/>
    <n v="1"/>
    <d v="2023-12-05T00:00:00"/>
    <x v="1"/>
    <n v="8"/>
    <d v="2023-08-01T00:00:00"/>
    <d v="2023-12-31T00:00:00"/>
    <n v="71045"/>
    <s v="X-RAY EXAM CHEST 1 VIEW"/>
    <x v="0"/>
    <s v="Emergency Medicine"/>
    <n v="61"/>
    <n v="0"/>
    <n v="54.05"/>
    <n v="6.95"/>
    <n v="0.88600000000000001"/>
    <s v="Paid"/>
    <n v="223401836"/>
    <s v="HCS120231204255011"/>
    <s v="HCS"/>
    <s v="I10"/>
    <s v="Essential (primary) hypertension"/>
    <n v="0"/>
    <m/>
    <s v="H"/>
    <n v="23"/>
    <m/>
  </r>
  <r>
    <s v="Jails"/>
    <s v="Fort Bend County Jail, TX"/>
    <s v="Fort Bend County Jail   (0131)"/>
    <n v="4013470"/>
    <s v="P00172986"/>
    <d v="1986-11-16T00:00:00"/>
    <m/>
    <s v="GREEN, VERNON"/>
    <s v="HOUSTON RADIOLOGY ASSOCIATED"/>
    <n v="741688740"/>
    <n v="29631482"/>
    <d v="2023-10-05T00:00:00"/>
    <d v="2023-10-05T00:00:00"/>
    <n v="1"/>
    <d v="2023-12-05T00:00:00"/>
    <x v="1"/>
    <n v="8"/>
    <d v="2023-08-01T00:00:00"/>
    <d v="2023-12-31T00:00:00"/>
    <n v="93970"/>
    <s v="EXTREMITY STUDY"/>
    <x v="0"/>
    <s v="Emergency Medicine"/>
    <n v="251"/>
    <n v="0"/>
    <n v="225.07"/>
    <n v="25.93"/>
    <n v="0.89659999999999995"/>
    <s v="Paid"/>
    <n v="223401869"/>
    <s v="HCS120231204255013"/>
    <s v="HCS"/>
    <s v="M79.604"/>
    <s v="Pain in right leg"/>
    <n v="0"/>
    <m/>
    <s v="H"/>
    <n v="21"/>
    <m/>
  </r>
  <r>
    <s v="Jails"/>
    <s v="Fort Bend County Jail, TX"/>
    <s v="Fort Bend County Jail   (0131)"/>
    <n v="4013470"/>
    <s v="P00172986"/>
    <d v="1986-11-16T00:00:00"/>
    <m/>
    <s v="GREEN, VERNON"/>
    <s v="HOUSTON RADIOLOGY ASSOCIATED"/>
    <n v="741688740"/>
    <n v="29631482"/>
    <d v="2023-10-05T00:00:00"/>
    <d v="2023-10-05T00:00:00"/>
    <n v="1"/>
    <d v="2023-12-05T00:00:00"/>
    <x v="1"/>
    <n v="8"/>
    <d v="2023-08-01T00:00:00"/>
    <d v="2023-12-31T00:00:00"/>
    <n v="70450"/>
    <s v="CT HEAD/BRAIN W/O DYE"/>
    <x v="0"/>
    <s v="Emergency Medicine"/>
    <n v="296"/>
    <n v="0"/>
    <n v="263.92"/>
    <n v="32.08"/>
    <n v="0.89159999999999995"/>
    <s v="Paid"/>
    <n v="223401931"/>
    <s v="HCS120231204255010"/>
    <s v="HCS"/>
    <s v="R51.9"/>
    <m/>
    <n v="0"/>
    <m/>
    <s v="H"/>
    <n v="21"/>
    <m/>
  </r>
  <r>
    <s v="Jails"/>
    <s v="Fort Bend County Jail, TX"/>
    <s v="Fort Bend County Jail   (0131)"/>
    <n v="6637712"/>
    <s v="P00246341"/>
    <d v="1961-07-05T00:00:00"/>
    <m/>
    <s v="LEFEBVRE, CYNTHIA"/>
    <s v="HOUSTON RADIOLOGY ASSOCIATED"/>
    <n v="741688740"/>
    <n v="29024004"/>
    <d v="2023-08-11T00:00:00"/>
    <d v="2023-08-11T00:00:00"/>
    <n v="1"/>
    <d v="2023-10-13T00:00:00"/>
    <x v="5"/>
    <n v="12"/>
    <d v="2023-08-01T00:00:00"/>
    <d v="2023-12-31T00:00:00"/>
    <n v="70450"/>
    <s v="CT HEAD/BRAIN W/O DYE"/>
    <x v="0"/>
    <s v="ER Evaluation"/>
    <n v="296"/>
    <n v="0"/>
    <n v="263.92"/>
    <n v="32.08"/>
    <n v="0.89159999999999995"/>
    <s v="Paid"/>
    <n v="223318645"/>
    <s v="HCS120231011256006"/>
    <s v="HCS"/>
    <s v="R53.1"/>
    <s v="Weakness"/>
    <n v="0"/>
    <m/>
    <s v="H"/>
    <n v="23"/>
    <m/>
  </r>
  <r>
    <s v="Jails"/>
    <s v="Fort Bend County Jail, TX"/>
    <s v="Fort Bend County Jail   (0131)"/>
    <n v="6019214"/>
    <s v="P00110849"/>
    <d v="1983-04-29T00:00:00"/>
    <m/>
    <s v="MARTINEZ, ADOLFO"/>
    <s v="HOUSTON RADIOLOGY ASSOCIATED"/>
    <n v="741688740"/>
    <n v="29640714"/>
    <d v="2023-10-05T00:00:00"/>
    <d v="2023-10-05T00:00:00"/>
    <n v="1"/>
    <d v="2023-12-05T00:00:00"/>
    <x v="1"/>
    <n v="8"/>
    <d v="2023-08-01T00:00:00"/>
    <d v="2023-12-31T00:00:00"/>
    <n v="70450"/>
    <s v="CT HEAD/BRAIN W/O DYE"/>
    <x v="0"/>
    <s v="Emergency Medicine"/>
    <n v="296"/>
    <n v="0"/>
    <n v="263.92"/>
    <n v="32.08"/>
    <n v="0.89159999999999995"/>
    <s v="Paid"/>
    <n v="223401854"/>
    <s v="HCS120231204255012"/>
    <s v="HCS"/>
    <s v="S09.90XA"/>
    <s v="Unspecified injury of head, initial encounter"/>
    <n v="0"/>
    <m/>
    <s v="H"/>
    <n v="23"/>
    <m/>
  </r>
  <r>
    <s v="Jails"/>
    <s v="Fort Bend County Jail, TX"/>
    <s v="Fort Bend County Jail   (0131)"/>
    <n v="6019214"/>
    <s v="P00110849"/>
    <d v="1983-04-29T00:00:00"/>
    <m/>
    <s v="MARTINEZ, ADOLFO"/>
    <s v="HOUSTON RADIOLOGY ASSOCIATED"/>
    <n v="741688740"/>
    <n v="29640714"/>
    <d v="2023-10-05T00:00:00"/>
    <d v="2023-10-05T00:00:00"/>
    <n v="1"/>
    <d v="2023-12-05T00:00:00"/>
    <x v="1"/>
    <n v="8"/>
    <d v="2023-08-01T00:00:00"/>
    <d v="2023-12-31T00:00:00"/>
    <n v="73562"/>
    <s v="X-RAY EXAM OF KNEE 3"/>
    <x v="0"/>
    <s v="Emergency Medicine"/>
    <n v="69"/>
    <n v="0"/>
    <n v="61.78"/>
    <n v="7.22"/>
    <n v="0.89529999999999998"/>
    <s v="Paid"/>
    <n v="223401867"/>
    <s v="HCS120231204255009"/>
    <s v="HCS"/>
    <s v="M25.561"/>
    <s v="Pain in right knee"/>
    <n v="0"/>
    <m/>
    <s v="H"/>
    <n v="23"/>
    <m/>
  </r>
  <r>
    <s v="Jails"/>
    <s v="Fort Bend County Jail, TX"/>
    <s v="Fort Bend County Jail   (0131)"/>
    <n v="6784341"/>
    <s v="P00247766"/>
    <d v="1990-04-24T00:00:00"/>
    <m/>
    <s v="COOK, JESSIE"/>
    <s v="JAMES KONG PC"/>
    <n v="760399898"/>
    <n v="29512673"/>
    <d v="2023-10-17T00:00:00"/>
    <d v="2023-10-17T00:00:00"/>
    <n v="1"/>
    <d v="2023-10-20T00:00:00"/>
    <x v="2"/>
    <n v="12"/>
    <d v="2023-08-01T00:00:00"/>
    <d v="2023-12-31T00:00:00"/>
    <n v="92014"/>
    <s v="EYE EXAM&amp;TX ESTAB PT 1/&gt;VST"/>
    <x v="1"/>
    <s v="Optometry"/>
    <n v="139"/>
    <n v="0"/>
    <n v="39.83"/>
    <n v="99.17"/>
    <n v="0.28649999999999998"/>
    <s v="Paid"/>
    <n v="223333838"/>
    <n v="101823756067760"/>
    <s v="HCS"/>
    <s v="H52.13"/>
    <s v="Myopia, bilateral"/>
    <n v="0"/>
    <m/>
    <s v="H"/>
    <n v="11"/>
    <m/>
  </r>
  <r>
    <s v="Jails"/>
    <s v="Fort Bend County Jail, TX"/>
    <s v="Fort Bend County Jail   (0131)"/>
    <n v="6784341"/>
    <s v="P00247766"/>
    <d v="1990-04-24T00:00:00"/>
    <m/>
    <s v="COOK, JESSIE"/>
    <s v="JAMES KONG PC"/>
    <n v="760399898"/>
    <n v="29512673"/>
    <d v="2023-10-17T00:00:00"/>
    <d v="2023-10-17T00:00:00"/>
    <n v="1"/>
    <d v="2023-10-20T00:00:00"/>
    <x v="2"/>
    <n v="12"/>
    <d v="2023-08-01T00:00:00"/>
    <d v="2023-12-31T00:00:00"/>
    <n v="92015"/>
    <s v="DETERMINE REFRACTIVE STATE"/>
    <x v="1"/>
    <s v="Optometry"/>
    <n v="55"/>
    <n v="0"/>
    <n v="39.5"/>
    <n v="15.5"/>
    <n v="0.71809999999999996"/>
    <s v="Paid"/>
    <n v="223333838"/>
    <n v="101823756067760"/>
    <s v="HCS"/>
    <s v="H52.13"/>
    <s v="Myopia, bilateral"/>
    <n v="0"/>
    <m/>
    <s v="H"/>
    <n v="11"/>
    <m/>
  </r>
  <r>
    <s v="Jails"/>
    <s v="Fort Bend County Jail, TX"/>
    <s v="Fort Bend County Jail   (0131)"/>
    <n v="6784341"/>
    <s v="P00247766"/>
    <d v="1990-04-24T00:00:00"/>
    <m/>
    <s v="COOK, JESSIE"/>
    <s v="JAMES KONG PC"/>
    <n v="760399898"/>
    <n v="29512673"/>
    <d v="2023-10-17T00:00:00"/>
    <d v="2023-10-17T00:00:00"/>
    <n v="1"/>
    <d v="2023-10-20T00:00:00"/>
    <x v="2"/>
    <n v="12"/>
    <d v="2023-08-01T00:00:00"/>
    <d v="2023-12-31T00:00:00"/>
    <n v="92250"/>
    <s v="EYE EXAM WITH PHOTOS"/>
    <x v="1"/>
    <s v="Optometry"/>
    <n v="159"/>
    <n v="0"/>
    <n v="90.11"/>
    <n v="68.89"/>
    <n v="0.56669999999999998"/>
    <s v="Paid"/>
    <n v="223333838"/>
    <n v="101823756067760"/>
    <s v="HCS"/>
    <s v="H52.13"/>
    <s v="Myopia, bilateral"/>
    <n v="0"/>
    <m/>
    <s v="H"/>
    <n v="11"/>
    <m/>
  </r>
  <r>
    <s v="Jails"/>
    <s v="Fort Bend County Jail, TX"/>
    <s v="Fort Bend County Jail   (0131)"/>
    <n v="6590440"/>
    <s v="P90004859"/>
    <d v="1967-05-31T00:00:00"/>
    <m/>
    <s v="LEIVA, ALIRIO"/>
    <s v="JAMES KONG PC"/>
    <n v="760399898"/>
    <n v="29141580"/>
    <d v="2023-09-11T00:00:00"/>
    <d v="2023-09-11T00:00:00"/>
    <n v="1"/>
    <d v="2023-09-15T00:00:00"/>
    <x v="4"/>
    <n v="19"/>
    <d v="2023-08-01T00:00:00"/>
    <d v="2023-12-31T00:00:00"/>
    <n v="92004"/>
    <s v="EYE EXAM NEW PATIENT"/>
    <x v="1"/>
    <s v="Optometry"/>
    <n v="139"/>
    <n v="0"/>
    <n v="20.05"/>
    <n v="118.95"/>
    <n v="0.14419999999999999"/>
    <s v="Paid"/>
    <n v="223287590"/>
    <n v="91323723195417"/>
    <s v="HCS"/>
    <s v="H52.02"/>
    <s v="Hypermetropia, left eye"/>
    <n v="0"/>
    <m/>
    <s v="H"/>
    <n v="11"/>
    <m/>
  </r>
  <r>
    <s v="Jails"/>
    <s v="Fort Bend County Jail, TX"/>
    <s v="Fort Bend County Jail   (0131)"/>
    <n v="6590440"/>
    <s v="P90004859"/>
    <d v="1967-05-31T00:00:00"/>
    <m/>
    <s v="LEIVA, ALIRIO"/>
    <s v="JAMES KONG PC"/>
    <n v="760399898"/>
    <n v="29141580"/>
    <d v="2023-09-11T00:00:00"/>
    <d v="2023-09-11T00:00:00"/>
    <n v="1"/>
    <d v="2023-09-15T00:00:00"/>
    <x v="4"/>
    <n v="19"/>
    <d v="2023-08-01T00:00:00"/>
    <d v="2023-12-31T00:00:00"/>
    <n v="92015"/>
    <s v="DETERMINE REFRACTIVE STATE"/>
    <x v="1"/>
    <s v="Optometry"/>
    <n v="55"/>
    <n v="0"/>
    <n v="39.5"/>
    <n v="15.5"/>
    <n v="0.71809999999999996"/>
    <s v="Paid"/>
    <n v="223287590"/>
    <n v="91323723195417"/>
    <s v="HCS"/>
    <s v="H52.02"/>
    <s v="Hypermetropia, left eye"/>
    <n v="0"/>
    <m/>
    <s v="H"/>
    <n v="11"/>
    <m/>
  </r>
  <r>
    <s v="Jails"/>
    <s v="Fort Bend County Jail, TX"/>
    <s v="Fort Bend County Jail   (0131)"/>
    <n v="6590440"/>
    <s v="P90004859"/>
    <d v="1967-05-31T00:00:00"/>
    <m/>
    <s v="LEIVA, ALIRIO"/>
    <s v="JAMES KONG PC"/>
    <n v="760399898"/>
    <n v="29141580"/>
    <d v="2023-09-11T00:00:00"/>
    <d v="2023-09-11T00:00:00"/>
    <n v="1"/>
    <d v="2023-09-15T00:00:00"/>
    <x v="4"/>
    <n v="19"/>
    <d v="2023-08-01T00:00:00"/>
    <d v="2023-12-31T00:00:00"/>
    <n v="92250"/>
    <s v="EYE EXAM WITH PHOTOS"/>
    <x v="1"/>
    <s v="Optometry"/>
    <n v="159"/>
    <n v="0"/>
    <n v="95.11"/>
    <n v="63.89"/>
    <n v="0.59809999999999997"/>
    <s v="Paid"/>
    <n v="223287590"/>
    <n v="91323723195417"/>
    <s v="HCS"/>
    <s v="H52.02"/>
    <s v="Hypermetropia, left eye"/>
    <n v="0"/>
    <m/>
    <s v="H"/>
    <n v="11"/>
    <m/>
  </r>
  <r>
    <s v="Jails"/>
    <s v="Fort Bend County Jail, TX"/>
    <s v="Fort Bend County Jail   (0131)"/>
    <n v="7109866"/>
    <s v="P00250858"/>
    <d v="1986-07-08T00:00:00"/>
    <m/>
    <s v="HOLLINGSWORTH, RYAN"/>
    <s v="KIDNEY HYPERTENSION CONSULTANTS"/>
    <n v="261104730"/>
    <n v="28928196"/>
    <d v="2023-08-21T00:00:00"/>
    <d v="2023-08-21T00:00:00"/>
    <n v="1"/>
    <d v="2023-11-17T00:00:00"/>
    <x v="6"/>
    <n v="12"/>
    <d v="2023-08-01T00:00:00"/>
    <d v="2023-12-31T00:00:00"/>
    <n v="99232"/>
    <s v="SUBSEQUENT HOSPITAL CARE"/>
    <x v="0"/>
    <s v="Emergency Medicine"/>
    <n v="150"/>
    <n v="0"/>
    <n v="104.52"/>
    <n v="45.48"/>
    <n v="0.69679999999999997"/>
    <s v="Paid"/>
    <n v="223377391"/>
    <s v="HE20231116036023"/>
    <s v="HCS"/>
    <s v="E87.0"/>
    <s v="Hyperosmolality and hypernatremia"/>
    <n v="0"/>
    <m/>
    <s v="H"/>
    <n v="21"/>
    <m/>
  </r>
  <r>
    <s v="Jails"/>
    <s v="Fort Bend County Jail, TX"/>
    <s v="Fort Bend County Jail   (0131)"/>
    <n v="7109866"/>
    <s v="P00250858"/>
    <d v="1986-07-08T00:00:00"/>
    <m/>
    <s v="HOLLINGSWORTH, RYAN"/>
    <s v="KIDNEY HYPERTENSION CONSULTANTS"/>
    <n v="261104730"/>
    <n v="28928196"/>
    <d v="2023-08-22T00:00:00"/>
    <d v="2023-08-22T00:00:00"/>
    <n v="1"/>
    <d v="2023-11-17T00:00:00"/>
    <x v="6"/>
    <n v="12"/>
    <d v="2023-08-01T00:00:00"/>
    <d v="2023-12-31T00:00:00"/>
    <n v="99232"/>
    <s v="SUBSEQUENT HOSPITAL CARE"/>
    <x v="0"/>
    <s v="Emergency Medicine"/>
    <n v="150"/>
    <n v="0"/>
    <n v="104.52"/>
    <n v="45.48"/>
    <n v="0.69679999999999997"/>
    <s v="Paid"/>
    <n v="223377391"/>
    <s v="HE20231116036023"/>
    <s v="HCS"/>
    <s v="E87.0"/>
    <s v="Hyperosmolality and hypernatremia"/>
    <n v="0"/>
    <m/>
    <s v="H"/>
    <n v="21"/>
    <m/>
  </r>
  <r>
    <s v="Jails"/>
    <s v="Fort Bend County Jail, TX"/>
    <s v="Fort Bend County Jail   (0131)"/>
    <n v="7109866"/>
    <s v="P00250858"/>
    <d v="1986-07-08T00:00:00"/>
    <m/>
    <s v="HOLLINGSWORTH, RYAN"/>
    <s v="KIDNEY HYPERTENSION CONSULTANTS"/>
    <n v="261104730"/>
    <n v="28928196"/>
    <d v="2023-08-23T00:00:00"/>
    <d v="2023-08-23T00:00:00"/>
    <n v="1"/>
    <d v="2023-11-17T00:00:00"/>
    <x v="6"/>
    <n v="12"/>
    <d v="2023-08-01T00:00:00"/>
    <d v="2023-12-31T00:00:00"/>
    <n v="99232"/>
    <s v="SUBSEQUENT HOSPITAL CARE"/>
    <x v="0"/>
    <s v="Emergency Medicine"/>
    <n v="150"/>
    <n v="0"/>
    <n v="104.52"/>
    <n v="45.48"/>
    <n v="0.69679999999999997"/>
    <s v="Paid"/>
    <n v="223377391"/>
    <s v="HE20231116036023"/>
    <s v="HCS"/>
    <s v="E87.0"/>
    <s v="Hyperosmolality and hypernatremia"/>
    <n v="0"/>
    <m/>
    <s v="H"/>
    <n v="21"/>
    <m/>
  </r>
  <r>
    <s v="Jails"/>
    <s v="Fort Bend County Jail, TX"/>
    <s v="Fort Bend County Jail   (0131)"/>
    <n v="7109866"/>
    <s v="P00250858"/>
    <d v="1986-07-08T00:00:00"/>
    <m/>
    <s v="HOLLINGSWORTH, RYAN"/>
    <s v="KIDNEY HYPERTENSION CONSULTANTS"/>
    <n v="261104730"/>
    <n v="28928196"/>
    <d v="2023-08-24T00:00:00"/>
    <d v="2023-08-24T00:00:00"/>
    <n v="1"/>
    <d v="2023-11-17T00:00:00"/>
    <x v="6"/>
    <n v="12"/>
    <d v="2023-08-01T00:00:00"/>
    <d v="2023-12-31T00:00:00"/>
    <n v="99232"/>
    <s v="SUBSEQUENT HOSPITAL CARE"/>
    <x v="0"/>
    <s v="Emergency Medicine"/>
    <n v="150"/>
    <n v="0"/>
    <n v="104.52"/>
    <n v="45.48"/>
    <n v="0.69679999999999997"/>
    <s v="Paid"/>
    <n v="223377391"/>
    <s v="HE20231116036023"/>
    <s v="HCS"/>
    <s v="E87.0"/>
    <s v="Hyperosmolality and hypernatremia"/>
    <n v="0"/>
    <m/>
    <s v="H"/>
    <n v="21"/>
    <m/>
  </r>
  <r>
    <s v="Jails"/>
    <s v="Fort Bend County Jail, TX"/>
    <s v="Fort Bend County Jail   (0131)"/>
    <n v="7109866"/>
    <s v="P00250858"/>
    <d v="1986-07-08T00:00:00"/>
    <m/>
    <s v="HOLLINGSWORTH, RYAN"/>
    <s v="KIDNEY HYPERTENSION CONSULTANTS"/>
    <n v="261104730"/>
    <n v="28928196"/>
    <d v="2023-08-25T00:00:00"/>
    <d v="2023-08-25T00:00:00"/>
    <n v="1"/>
    <d v="2023-11-17T00:00:00"/>
    <x v="6"/>
    <n v="12"/>
    <d v="2023-08-01T00:00:00"/>
    <d v="2023-12-31T00:00:00"/>
    <n v="99232"/>
    <s v="SUBSEQUENT HOSPITAL CARE"/>
    <x v="0"/>
    <s v="Emergency Medicine"/>
    <n v="150"/>
    <n v="0"/>
    <n v="104.52"/>
    <n v="45.48"/>
    <n v="0.69679999999999997"/>
    <s v="Paid"/>
    <n v="223377391"/>
    <s v="HE20231116036023"/>
    <s v="HCS"/>
    <s v="E87.0"/>
    <s v="Hyperosmolality and hypernatremia"/>
    <n v="0"/>
    <m/>
    <s v="H"/>
    <n v="21"/>
    <m/>
  </r>
  <r>
    <s v="Jails"/>
    <s v="Fort Bend County Jail, TX"/>
    <s v="Fort Bend County Jail   (0131)"/>
    <n v="7109866"/>
    <s v="P00250858"/>
    <d v="1986-07-08T00:00:00"/>
    <m/>
    <s v="HOLLINGSWORTH, RYAN"/>
    <s v="KIDNEY HYPERTENSION CONSULTANTS"/>
    <n v="261104730"/>
    <n v="28928196"/>
    <d v="2023-08-14T00:00:00"/>
    <d v="2023-08-14T00:00:00"/>
    <n v="1"/>
    <d v="2023-11-17T00:00:00"/>
    <x v="6"/>
    <n v="12"/>
    <d v="2023-08-01T00:00:00"/>
    <d v="2023-12-31T00:00:00"/>
    <n v="99222"/>
    <s v="INITIAL HOSPITAL CARE"/>
    <x v="0"/>
    <s v="Emergency Medicine"/>
    <n v="300"/>
    <n v="0"/>
    <n v="204.95"/>
    <n v="95.05"/>
    <n v="0.68310000000000004"/>
    <s v="Paid"/>
    <n v="223377392"/>
    <s v="HE20231116036024"/>
    <s v="HCS"/>
    <s v="E87.0"/>
    <s v="Hyperosmolality and hypernatremia"/>
    <n v="0"/>
    <m/>
    <s v="H"/>
    <n v="21"/>
    <m/>
  </r>
  <r>
    <s v="Jails"/>
    <s v="Fort Bend County Jail, TX"/>
    <s v="Fort Bend County Jail   (0131)"/>
    <n v="7109866"/>
    <s v="P00250858"/>
    <d v="1986-07-08T00:00:00"/>
    <m/>
    <s v="HOLLINGSWORTH, RYAN"/>
    <s v="KIDNEY HYPERTENSION CONSULTANTS"/>
    <n v="261104730"/>
    <n v="28928196"/>
    <d v="2023-08-15T00:00:00"/>
    <d v="2023-08-15T00:00:00"/>
    <n v="1"/>
    <d v="2023-11-17T00:00:00"/>
    <x v="6"/>
    <n v="12"/>
    <d v="2023-08-01T00:00:00"/>
    <d v="2023-12-31T00:00:00"/>
    <n v="99232"/>
    <s v="SUBSEQUENT HOSPITAL CARE"/>
    <x v="0"/>
    <s v="Emergency Medicine"/>
    <n v="150"/>
    <n v="0"/>
    <n v="104.52"/>
    <n v="45.48"/>
    <n v="0.69679999999999997"/>
    <s v="Paid"/>
    <n v="223377392"/>
    <s v="HE20231116036024"/>
    <s v="HCS"/>
    <s v="E87.0"/>
    <s v="Hyperosmolality and hypernatremia"/>
    <n v="0"/>
    <m/>
    <s v="H"/>
    <n v="21"/>
    <m/>
  </r>
  <r>
    <s v="Jails"/>
    <s v="Fort Bend County Jail, TX"/>
    <s v="Fort Bend County Jail   (0131)"/>
    <n v="7109866"/>
    <s v="P00250858"/>
    <d v="1986-07-08T00:00:00"/>
    <m/>
    <s v="HOLLINGSWORTH, RYAN"/>
    <s v="KIDNEY HYPERTENSION CONSULTANTS"/>
    <n v="261104730"/>
    <n v="28928196"/>
    <d v="2023-08-16T00:00:00"/>
    <d v="2023-08-16T00:00:00"/>
    <n v="1"/>
    <d v="2023-11-17T00:00:00"/>
    <x v="6"/>
    <n v="12"/>
    <d v="2023-08-01T00:00:00"/>
    <d v="2023-12-31T00:00:00"/>
    <n v="99232"/>
    <s v="SUBSEQUENT HOSPITAL CARE"/>
    <x v="0"/>
    <s v="Emergency Medicine"/>
    <n v="150"/>
    <n v="0"/>
    <n v="104.52"/>
    <n v="45.48"/>
    <n v="0.69679999999999997"/>
    <s v="Paid"/>
    <n v="223377392"/>
    <s v="HE20231116036024"/>
    <s v="HCS"/>
    <s v="E87.0"/>
    <s v="Hyperosmolality and hypernatremia"/>
    <n v="0"/>
    <m/>
    <s v="H"/>
    <n v="21"/>
    <m/>
  </r>
  <r>
    <s v="Jails"/>
    <s v="Fort Bend County Jail, TX"/>
    <s v="Fort Bend County Jail   (0131)"/>
    <n v="7109866"/>
    <s v="P00250858"/>
    <d v="1986-07-08T00:00:00"/>
    <m/>
    <s v="HOLLINGSWORTH, RYAN"/>
    <s v="KIDNEY HYPERTENSION CONSULTANTS"/>
    <n v="261104730"/>
    <n v="28928196"/>
    <d v="2023-08-17T00:00:00"/>
    <d v="2023-08-17T00:00:00"/>
    <n v="1"/>
    <d v="2023-11-17T00:00:00"/>
    <x v="6"/>
    <n v="12"/>
    <d v="2023-08-01T00:00:00"/>
    <d v="2023-12-31T00:00:00"/>
    <n v="99232"/>
    <s v="SUBSEQUENT HOSPITAL CARE"/>
    <x v="0"/>
    <s v="Emergency Medicine"/>
    <n v="150"/>
    <n v="0"/>
    <n v="104.52"/>
    <n v="45.48"/>
    <n v="0.69679999999999997"/>
    <s v="Paid"/>
    <n v="223377392"/>
    <s v="HE20231116036024"/>
    <s v="HCS"/>
    <s v="E87.0"/>
    <s v="Hyperosmolality and hypernatremia"/>
    <n v="0"/>
    <m/>
    <s v="H"/>
    <n v="21"/>
    <m/>
  </r>
  <r>
    <s v="Jails"/>
    <s v="Fort Bend County Jail, TX"/>
    <s v="Fort Bend County Jail   (0131)"/>
    <n v="7109866"/>
    <s v="P00250858"/>
    <d v="1986-07-08T00:00:00"/>
    <m/>
    <s v="HOLLINGSWORTH, RYAN"/>
    <s v="KIDNEY HYPERTENSION CONSULTANTS"/>
    <n v="261104730"/>
    <n v="28928196"/>
    <d v="2023-08-18T00:00:00"/>
    <d v="2023-08-18T00:00:00"/>
    <n v="1"/>
    <d v="2023-11-17T00:00:00"/>
    <x v="6"/>
    <n v="12"/>
    <d v="2023-08-01T00:00:00"/>
    <d v="2023-12-31T00:00:00"/>
    <n v="99232"/>
    <s v="SUBSEQUENT HOSPITAL CARE"/>
    <x v="0"/>
    <s v="Emergency Medicine"/>
    <n v="150"/>
    <n v="0"/>
    <n v="104.52"/>
    <n v="45.48"/>
    <n v="0.69679999999999997"/>
    <s v="Paid"/>
    <n v="223377392"/>
    <s v="HE20231116036024"/>
    <s v="HCS"/>
    <s v="E87.0"/>
    <s v="Hyperosmolality and hypernatremia"/>
    <n v="0"/>
    <m/>
    <s v="H"/>
    <n v="21"/>
    <m/>
  </r>
  <r>
    <s v="Jails"/>
    <s v="Fort Bend County Jail, TX"/>
    <s v="Fort Bend County Jail   (0131)"/>
    <n v="7109866"/>
    <s v="P00250858"/>
    <d v="1986-07-08T00:00:00"/>
    <m/>
    <s v="HOLLINGSWORTH, RYAN"/>
    <s v="KIDNEY HYPERTENSION CONSULTANTS"/>
    <n v="261104730"/>
    <n v="28928196"/>
    <d v="2023-08-28T00:00:00"/>
    <d v="2023-08-28T00:00:00"/>
    <n v="1"/>
    <d v="2023-11-17T00:00:00"/>
    <x v="7"/>
    <n v="19"/>
    <d v="2023-08-01T00:00:00"/>
    <d v="2023-12-31T00:00:00"/>
    <n v="99232"/>
    <s v="SUBSEQUENT HOSPITAL CARE"/>
    <x v="0"/>
    <s v="Emergency Medicine"/>
    <n v="150"/>
    <n v="0"/>
    <n v="104.52"/>
    <n v="45.48"/>
    <n v="0.69679999999999997"/>
    <s v="Paid"/>
    <n v="223377394"/>
    <s v="HE20231116036025"/>
    <s v="HCS"/>
    <s v="E87.0"/>
    <s v="Hyperosmolality and hypernatremia"/>
    <n v="0"/>
    <m/>
    <s v="H"/>
    <n v="21"/>
    <m/>
  </r>
  <r>
    <s v="Jails"/>
    <s v="Fort Bend County Jail, TX"/>
    <s v="Fort Bend County Jail   (0131)"/>
    <n v="7109866"/>
    <s v="P00250858"/>
    <d v="1986-07-08T00:00:00"/>
    <m/>
    <s v="HOLLINGSWORTH, RYAN"/>
    <s v="KIDNEY HYPERTENSION CONSULTANTS"/>
    <n v="261104730"/>
    <n v="28928196"/>
    <d v="2023-08-29T00:00:00"/>
    <d v="2023-08-29T00:00:00"/>
    <n v="1"/>
    <d v="2023-11-17T00:00:00"/>
    <x v="7"/>
    <n v="19"/>
    <d v="2023-08-01T00:00:00"/>
    <d v="2023-12-31T00:00:00"/>
    <n v="99232"/>
    <s v="SUBSEQUENT HOSPITAL CARE"/>
    <x v="0"/>
    <s v="Emergency Medicine"/>
    <n v="150"/>
    <n v="0"/>
    <n v="104.52"/>
    <n v="45.48"/>
    <n v="0.69679999999999997"/>
    <s v="Paid"/>
    <n v="223377394"/>
    <s v="HE20231116036025"/>
    <s v="HCS"/>
    <s v="E87.0"/>
    <s v="Hyperosmolality and hypernatremia"/>
    <n v="0"/>
    <m/>
    <s v="H"/>
    <n v="21"/>
    <m/>
  </r>
  <r>
    <s v="Jails"/>
    <s v="Fort Bend County Jail, TX"/>
    <s v="Fort Bend County Jail   (0131)"/>
    <n v="7109866"/>
    <s v="P00250858"/>
    <d v="1986-07-08T00:00:00"/>
    <m/>
    <s v="HOLLINGSWORTH, RYAN"/>
    <s v="KIDNEY HYPERTENSION CONSULTANTS"/>
    <n v="261104730"/>
    <n v="28928196"/>
    <d v="2023-08-30T00:00:00"/>
    <d v="2023-08-30T00:00:00"/>
    <n v="1"/>
    <d v="2023-11-17T00:00:00"/>
    <x v="7"/>
    <n v="19"/>
    <d v="2023-08-01T00:00:00"/>
    <d v="2023-12-31T00:00:00"/>
    <n v="99232"/>
    <s v="SUBSEQUENT HOSPITAL CARE"/>
    <x v="0"/>
    <s v="Emergency Medicine"/>
    <n v="150"/>
    <n v="0"/>
    <n v="104.52"/>
    <n v="45.48"/>
    <n v="0.69679999999999997"/>
    <s v="Paid"/>
    <n v="223377394"/>
    <s v="HE20231116036025"/>
    <s v="HCS"/>
    <s v="E87.0"/>
    <s v="Hyperosmolality and hypernatremia"/>
    <n v="0"/>
    <m/>
    <s v="H"/>
    <n v="21"/>
    <m/>
  </r>
  <r>
    <s v="Jails"/>
    <s v="Fort Bend County Jail, TX"/>
    <s v="Fort Bend County Jail   (0131)"/>
    <n v="7109866"/>
    <s v="P00250858"/>
    <d v="1986-07-08T00:00:00"/>
    <m/>
    <s v="HOLLINGSWORTH, RYAN"/>
    <s v="KIDNEY HYPERTENSION CONSULTANTS"/>
    <n v="261104730"/>
    <n v="28928196"/>
    <d v="2023-08-31T00:00:00"/>
    <d v="2023-08-31T00:00:00"/>
    <n v="1"/>
    <d v="2023-11-17T00:00:00"/>
    <x v="7"/>
    <n v="19"/>
    <d v="2023-08-01T00:00:00"/>
    <d v="2023-12-31T00:00:00"/>
    <n v="99231"/>
    <s v="SUBSEQUENT HOSPITAL CARE"/>
    <x v="0"/>
    <s v="Emergency Medicine"/>
    <n v="100"/>
    <n v="0"/>
    <n v="68.319999999999993"/>
    <n v="31.68"/>
    <n v="0.68320000000000003"/>
    <s v="Paid"/>
    <n v="223377394"/>
    <s v="HE20231116036025"/>
    <s v="HCS"/>
    <s v="E87.0"/>
    <s v="Hyperosmolality and hypernatremia"/>
    <n v="0"/>
    <m/>
    <s v="H"/>
    <n v="21"/>
    <m/>
  </r>
  <r>
    <s v="Jails"/>
    <s v="Fort Bend County Jail, TX"/>
    <s v="Fort Bend County Jail   (0131)"/>
    <n v="7109866"/>
    <s v="P00250858"/>
    <d v="1986-07-08T00:00:00"/>
    <m/>
    <s v="HOLLINGSWORTH, RYAN"/>
    <s v="KIDNEY HYPERTENSION CONSULTANTS"/>
    <n v="261104730"/>
    <n v="28928196"/>
    <d v="2023-09-01T00:00:00"/>
    <d v="2023-09-01T00:00:00"/>
    <n v="1"/>
    <d v="2023-11-17T00:00:00"/>
    <x v="7"/>
    <n v="19"/>
    <d v="2023-08-01T00:00:00"/>
    <d v="2023-12-31T00:00:00"/>
    <n v="99232"/>
    <s v="SUBSEQUENT HOSPITAL CARE"/>
    <x v="0"/>
    <s v="Emergency Medicine"/>
    <n v="150"/>
    <n v="0"/>
    <n v="104.52"/>
    <n v="45.48"/>
    <n v="0.69679999999999997"/>
    <s v="Paid"/>
    <n v="223377395"/>
    <s v="HE20231116036026"/>
    <s v="HCS"/>
    <s v="E87.0"/>
    <s v="Hyperosmolality and hypernatremia"/>
    <n v="0"/>
    <m/>
    <s v="H"/>
    <n v="21"/>
    <m/>
  </r>
  <r>
    <s v="Jails"/>
    <s v="Fort Bend County Jail, TX"/>
    <s v="Fort Bend County Jail   (0131)"/>
    <n v="7109866"/>
    <s v="P00250858"/>
    <d v="1986-07-08T00:00:00"/>
    <m/>
    <s v="HOLLINGSWORTH, RYAN"/>
    <s v="KIDNEY HYPERTENSION CONSULTANTS"/>
    <n v="261104730"/>
    <n v="28928196"/>
    <d v="2023-09-05T00:00:00"/>
    <d v="2023-09-05T00:00:00"/>
    <n v="1"/>
    <d v="2023-11-17T00:00:00"/>
    <x v="7"/>
    <n v="19"/>
    <d v="2023-08-01T00:00:00"/>
    <d v="2023-12-31T00:00:00"/>
    <n v="99232"/>
    <s v="SUBSEQUENT HOSPITAL CARE"/>
    <x v="0"/>
    <s v="Emergency Medicine"/>
    <n v="150"/>
    <n v="0"/>
    <n v="104.52"/>
    <n v="45.48"/>
    <n v="0.69679999999999997"/>
    <s v="Paid"/>
    <n v="223377395"/>
    <s v="HE20231116036026"/>
    <s v="HCS"/>
    <s v="E87.0"/>
    <s v="Hyperosmolality and hypernatremia"/>
    <n v="0"/>
    <m/>
    <s v="H"/>
    <n v="21"/>
    <m/>
  </r>
  <r>
    <s v="Jails"/>
    <s v="Fort Bend County Jail, TX"/>
    <s v="Fort Bend County Jail   (0131)"/>
    <n v="6782238"/>
    <s v="P00247757"/>
    <d v="1969-11-11T00:00:00"/>
    <m/>
    <s v="NUNEZ-CASTILLO, JUAN"/>
    <s v="MEMORIAL HERMANN MEDICAL GROUP"/>
    <n v="204923281"/>
    <n v="29450662"/>
    <d v="2023-09-22T00:00:00"/>
    <d v="2023-09-22T00:00:00"/>
    <n v="1"/>
    <d v="2023-10-04T00:00:00"/>
    <x v="5"/>
    <n v="21"/>
    <d v="2023-08-01T00:00:00"/>
    <d v="2023-12-31T00:00:00"/>
    <n v="99233"/>
    <s v="SUBSEQUENT HOSPITAL CARE"/>
    <x v="3"/>
    <s v="Critical Care Medicine"/>
    <n v="240"/>
    <n v="0"/>
    <n v="178.83"/>
    <n v="61.17"/>
    <n v="0.74509999999999998"/>
    <s v="Paid"/>
    <n v="223306958"/>
    <n v="93023787412230"/>
    <s v="HCS"/>
    <s v="C64.1"/>
    <s v="Malignant neoplasm of right kidney, except renal pelvis"/>
    <n v="0"/>
    <m/>
    <s v="H"/>
    <n v="21"/>
    <m/>
  </r>
  <r>
    <s v="Jails"/>
    <s v="Fort Bend County Jail, TX"/>
    <s v="Fort Bend County Jail   (0131)"/>
    <n v="6782238"/>
    <s v="P00247757"/>
    <d v="1969-11-11T00:00:00"/>
    <m/>
    <s v="NUNEZ-CASTILLO, JUAN"/>
    <s v="MEMORIAL HERMANN MEDICAL GROUP"/>
    <n v="204923281"/>
    <n v="29450662"/>
    <d v="2023-09-23T00:00:00"/>
    <d v="2023-09-23T00:00:00"/>
    <n v="1"/>
    <d v="2023-10-04T00:00:00"/>
    <x v="5"/>
    <n v="21"/>
    <d v="2023-08-01T00:00:00"/>
    <d v="2023-12-31T00:00:00"/>
    <n v="99233"/>
    <s v="SUBSEQUENT HOSPITAL CARE"/>
    <x v="3"/>
    <s v="Critical Care Medicine"/>
    <n v="240"/>
    <n v="0"/>
    <n v="178.83"/>
    <n v="61.17"/>
    <n v="0.74509999999999998"/>
    <s v="Paid"/>
    <n v="223306958"/>
    <n v="93023787412230"/>
    <s v="HCS"/>
    <s v="C64.1"/>
    <s v="Malignant neoplasm of right kidney, except renal pelvis"/>
    <n v="0"/>
    <m/>
    <s v="H"/>
    <n v="21"/>
    <m/>
  </r>
  <r>
    <s v="Jails"/>
    <s v="Fort Bend County Jail, TX"/>
    <s v="Fort Bend County Jail   (0131)"/>
    <n v="6782238"/>
    <s v="P00247757"/>
    <d v="1969-11-11T00:00:00"/>
    <m/>
    <s v="NUNEZ-CASTILLO, JUAN"/>
    <s v="MEMORIAL HERMANN MEDICAL GROUP"/>
    <n v="204923281"/>
    <n v="29450662"/>
    <d v="2023-09-24T00:00:00"/>
    <d v="2023-09-24T00:00:00"/>
    <n v="1"/>
    <d v="2023-10-04T00:00:00"/>
    <x v="5"/>
    <n v="21"/>
    <d v="2023-08-01T00:00:00"/>
    <d v="2023-12-31T00:00:00"/>
    <n v="99239"/>
    <s v="HOSPITAL DISCHARGE DAY"/>
    <x v="3"/>
    <s v="Critical Care Medicine"/>
    <n v="230"/>
    <n v="0"/>
    <n v="157.85"/>
    <n v="72.150000000000006"/>
    <n v="0.68630000000000002"/>
    <s v="Paid"/>
    <n v="223306958"/>
    <n v="93023787412230"/>
    <s v="HCS"/>
    <s v="C64.1"/>
    <s v="Malignant neoplasm of right kidney, except renal pelvis"/>
    <n v="0"/>
    <m/>
    <s v="H"/>
    <n v="21"/>
    <m/>
  </r>
  <r>
    <s v="Jails"/>
    <s v="Fort Bend County Jail, TX"/>
    <s v="Fort Bend County Jail   (0131)"/>
    <n v="6782238"/>
    <s v="P00247757"/>
    <d v="1969-11-11T00:00:00"/>
    <m/>
    <s v="NUNEZ-CASTILLO, JUAN"/>
    <s v="MEMORIAL HERMANN MEDICAL GROUP"/>
    <n v="204923281"/>
    <n v="29450662"/>
    <d v="2023-09-21T00:00:00"/>
    <d v="2023-09-21T00:00:00"/>
    <n v="1"/>
    <d v="2023-10-04T00:00:00"/>
    <x v="5"/>
    <n v="21"/>
    <d v="2023-08-01T00:00:00"/>
    <d v="2023-12-31T00:00:00"/>
    <n v="99233"/>
    <s v="SUBSEQUENT HOSPITAL CARE"/>
    <x v="3"/>
    <s v="Critical Care Medicine"/>
    <n v="240"/>
    <n v="0"/>
    <n v="178.83"/>
    <n v="61.17"/>
    <n v="0.74509999999999998"/>
    <s v="Paid"/>
    <n v="223306984"/>
    <n v="93023787412229"/>
    <s v="HCS"/>
    <s v="N39.0"/>
    <s v="Urinary tract infection, site not specified"/>
    <n v="0"/>
    <m/>
    <s v="H"/>
    <n v="21"/>
    <m/>
  </r>
  <r>
    <s v="Jails"/>
    <s v="Fort Bend County Jail, TX"/>
    <s v="Fort Bend County Jail   (0131)"/>
    <n v="2218803"/>
    <s v="P00199276"/>
    <d v="1993-07-29T00:00:00"/>
    <m/>
    <s v="AHMED, NABEEL"/>
    <s v="METHODIST HEALTH CENTER-SUGARLAND"/>
    <n v="760545192"/>
    <n v="30044643"/>
    <d v="2023-11-09T00:00:00"/>
    <d v="2023-11-09T00:00:00"/>
    <n v="1"/>
    <d v="2023-11-29T00:00:00"/>
    <x v="7"/>
    <n v="7"/>
    <d v="2023-08-01T00:00:00"/>
    <d v="2023-12-31T00:00:00"/>
    <n v="99283"/>
    <s v="EMERGENCY DEPT VISIT"/>
    <x v="0"/>
    <s v="ER Evaluation"/>
    <n v="6102"/>
    <n v="0"/>
    <n v="5308.74"/>
    <n v="793.26"/>
    <n v="0.87"/>
    <s v="Paid"/>
    <n v="223393171"/>
    <s v="HCS120231127293028"/>
    <s v="HCS"/>
    <s v="R21"/>
    <s v="Rash and other nonspecific skin eruption"/>
    <n v="131"/>
    <m/>
    <s v="IU"/>
    <n v="0"/>
    <m/>
  </r>
  <r>
    <s v="Jails"/>
    <s v="Fort Bend County Jail, TX"/>
    <s v="Fort Bend County Jail   (0131)"/>
    <n v="7212638"/>
    <s v="P00251942"/>
    <d v="1986-12-05T00:00:00"/>
    <m/>
    <s v="BLODGETT, KAYLEIGH"/>
    <s v="METHODIST HEALTH CENTER-SUGARLAND"/>
    <n v="760545192"/>
    <n v="30055934"/>
    <d v="2023-09-06T00:00:00"/>
    <d v="2023-09-07T00:00:00"/>
    <n v="1"/>
    <d v="2023-09-27T00:00:00"/>
    <x v="8"/>
    <n v="56"/>
    <d v="2023-08-01T00:00:00"/>
    <d v="2023-12-31T00:00:00"/>
    <n v="93005"/>
    <s v="ELECTROCARDIOGRAM TRACING"/>
    <x v="0"/>
    <s v="Emergency Medicine"/>
    <n v="23549.5"/>
    <n v="0"/>
    <n v="20252.57"/>
    <n v="3296.93"/>
    <n v="0.86"/>
    <s v="Paid"/>
    <n v="223299558"/>
    <s v="HCS120230925278006"/>
    <s v="HCS"/>
    <s v="R10.9"/>
    <s v="Unspecified abdominal pain"/>
    <n v="131"/>
    <m/>
    <s v="IU"/>
    <n v="0"/>
    <m/>
  </r>
  <r>
    <s v="Jails"/>
    <s v="Fort Bend County Jail, TX"/>
    <s v="Fort Bend County Jail   (0131)"/>
    <n v="6874678"/>
    <s v="P00248725"/>
    <d v="2001-05-08T00:00:00"/>
    <m/>
    <s v="JEFFERSON, JAMES"/>
    <s v="METHODIST HEALTH CENTER-SUGARLAND"/>
    <n v="760545192"/>
    <n v="29121738"/>
    <d v="2023-08-21T00:00:00"/>
    <d v="2023-08-21T00:00:00"/>
    <n v="1"/>
    <d v="2023-09-13T00:00:00"/>
    <x v="4"/>
    <n v="21"/>
    <d v="2023-08-01T00:00:00"/>
    <d v="2023-12-31T00:00:00"/>
    <n v="99284"/>
    <s v="EMERGENCY DEPT VISIT"/>
    <x v="0"/>
    <s v="Emergency Medicine"/>
    <n v="9415"/>
    <n v="0"/>
    <n v="8096.9"/>
    <n v="1318.1"/>
    <n v="0.86"/>
    <s v="Paid"/>
    <n v="223282851"/>
    <s v="HCS120230911287040"/>
    <s v="HCS"/>
    <s v="M86.632"/>
    <s v="Other chronic osteomyelitis, left radius and ulna"/>
    <n v="131"/>
    <m/>
    <s v="IU"/>
    <n v="0"/>
    <m/>
  </r>
  <r>
    <s v="Jails"/>
    <s v="Fort Bend County Jail, TX"/>
    <s v="Fort Bend County Jail   (0131)"/>
    <n v="2218803"/>
    <s v="P00199276"/>
    <d v="1993-07-29T00:00:00"/>
    <m/>
    <s v="AHMED, NABEEL"/>
    <s v="METHODIST PATHOLOGY ASSOC PLLC"/>
    <n v="371520288"/>
    <n v="30044643"/>
    <d v="2023-11-09T00:00:00"/>
    <d v="2023-11-09T00:00:00"/>
    <n v="1"/>
    <d v="2023-12-05T00:00:00"/>
    <x v="1"/>
    <n v="8"/>
    <d v="2023-08-01T00:00:00"/>
    <d v="2023-12-31T00:00:00"/>
    <n v="80053"/>
    <s v="COMPREHEN METABOLIC PANEL"/>
    <x v="0"/>
    <s v="ER Evaluation"/>
    <n v="121.45"/>
    <n v="0"/>
    <n v="121.45"/>
    <n v="0"/>
    <n v="1"/>
    <s v="Paid"/>
    <n v="223402072"/>
    <s v="HCS120231204261002"/>
    <s v="HCS"/>
    <s v="L03.115"/>
    <s v="Cellulitis of right lower limb"/>
    <n v="0"/>
    <m/>
    <s v="H"/>
    <n v="23"/>
    <m/>
  </r>
  <r>
    <s v="Jails"/>
    <s v="Fort Bend County Jail, TX"/>
    <s v="Fort Bend County Jail   (0131)"/>
    <n v="2218803"/>
    <s v="P00199276"/>
    <d v="1993-07-29T00:00:00"/>
    <m/>
    <s v="AHMED, NABEEL"/>
    <s v="METHODIST PATHOLOGY ASSOC PLLC"/>
    <n v="371520288"/>
    <n v="30044643"/>
    <d v="2023-11-09T00:00:00"/>
    <d v="2023-11-09T00:00:00"/>
    <n v="1"/>
    <d v="2023-12-05T00:00:00"/>
    <x v="1"/>
    <n v="8"/>
    <d v="2023-08-01T00:00:00"/>
    <d v="2023-12-31T00:00:00"/>
    <n v="83605"/>
    <s v="ASSAY OF LACTIC ACID"/>
    <x v="0"/>
    <s v="ER Evaluation"/>
    <n v="13"/>
    <n v="0"/>
    <n v="13"/>
    <n v="0"/>
    <n v="1"/>
    <s v="Paid"/>
    <n v="223402072"/>
    <s v="HCS120231204261002"/>
    <s v="HCS"/>
    <s v="L03.115"/>
    <s v="Cellulitis of right lower limb"/>
    <n v="0"/>
    <m/>
    <s v="H"/>
    <n v="23"/>
    <m/>
  </r>
  <r>
    <s v="Jails"/>
    <s v="Fort Bend County Jail, TX"/>
    <s v="Fort Bend County Jail   (0131)"/>
    <n v="2218803"/>
    <s v="P00199276"/>
    <d v="1993-07-29T00:00:00"/>
    <m/>
    <s v="AHMED, NABEEL"/>
    <s v="METHODIST PATHOLOGY ASSOC PLLC"/>
    <n v="371520288"/>
    <n v="30044643"/>
    <d v="2023-11-09T00:00:00"/>
    <d v="2023-11-09T00:00:00"/>
    <n v="1"/>
    <d v="2023-12-05T00:00:00"/>
    <x v="1"/>
    <n v="8"/>
    <d v="2023-08-01T00:00:00"/>
    <d v="2023-12-31T00:00:00"/>
    <n v="85025"/>
    <s v="COMPLETE CBC W/AUTO DIFF WBC"/>
    <x v="0"/>
    <s v="ER Evaluation"/>
    <n v="20.55"/>
    <n v="0"/>
    <n v="20.55"/>
    <n v="0"/>
    <n v="1"/>
    <s v="Paid"/>
    <n v="223402072"/>
    <s v="HCS120231204261002"/>
    <s v="HCS"/>
    <s v="L03.115"/>
    <s v="Cellulitis of right lower limb"/>
    <n v="0"/>
    <m/>
    <s v="H"/>
    <n v="23"/>
    <m/>
  </r>
  <r>
    <s v="Jails"/>
    <s v="Fort Bend County Jail, TX"/>
    <s v="Fort Bend County Jail   (0131)"/>
    <n v="7212638"/>
    <s v="P00251942"/>
    <d v="1986-12-05T00:00:00"/>
    <m/>
    <s v="BLODGETT, KAYLEIGH"/>
    <s v="METHODIST PATHOLOGY ASSOC PLLC"/>
    <n v="371520288"/>
    <n v="30055934"/>
    <d v="2023-09-06T00:00:00"/>
    <d v="2023-09-06T00:00:00"/>
    <n v="1"/>
    <d v="2023-09-27T00:00:00"/>
    <x v="8"/>
    <n v="56"/>
    <d v="2023-08-01T00:00:00"/>
    <d v="2023-12-31T00:00:00"/>
    <n v="81001"/>
    <s v="URINALYSIS AUTO W/SCOPE"/>
    <x v="0"/>
    <s v="Emergency Medicine"/>
    <n v="8.1999999999999993"/>
    <n v="0"/>
    <n v="8.1999999999999993"/>
    <n v="0"/>
    <n v="1"/>
    <s v="Paid"/>
    <n v="223299685"/>
    <s v="HCS120230926259027"/>
    <s v="HCS"/>
    <s v="R10.9"/>
    <s v="Unspecified abdominal pain"/>
    <n v="0"/>
    <m/>
    <s v="H"/>
    <n v="23"/>
    <m/>
  </r>
  <r>
    <s v="Jails"/>
    <s v="Fort Bend County Jail, TX"/>
    <s v="Fort Bend County Jail   (0131)"/>
    <n v="7212638"/>
    <s v="P00251942"/>
    <d v="1986-12-05T00:00:00"/>
    <m/>
    <s v="BLODGETT, KAYLEIGH"/>
    <s v="METHODIST PATHOLOGY ASSOC PLLC"/>
    <n v="371520288"/>
    <n v="30055934"/>
    <d v="2023-09-06T00:00:00"/>
    <d v="2023-09-06T00:00:00"/>
    <n v="1"/>
    <d v="2023-09-27T00:00:00"/>
    <x v="8"/>
    <n v="56"/>
    <d v="2023-08-01T00:00:00"/>
    <d v="2023-12-31T00:00:00"/>
    <n v="80053"/>
    <s v="COMPREHEN METABOLIC PANEL"/>
    <x v="0"/>
    <s v="Emergency Medicine"/>
    <n v="121.45"/>
    <n v="0"/>
    <n v="121.45"/>
    <n v="0"/>
    <n v="1"/>
    <s v="Paid"/>
    <n v="223299686"/>
    <s v="HCS120230926259026"/>
    <s v="HCS"/>
    <s v="R10.9"/>
    <s v="Unspecified abdominal pain"/>
    <n v="0"/>
    <m/>
    <s v="H"/>
    <n v="23"/>
    <m/>
  </r>
  <r>
    <s v="Jails"/>
    <s v="Fort Bend County Jail, TX"/>
    <s v="Fort Bend County Jail   (0131)"/>
    <n v="7212638"/>
    <s v="P00251942"/>
    <d v="1986-12-05T00:00:00"/>
    <m/>
    <s v="BLODGETT, KAYLEIGH"/>
    <s v="METHODIST PATHOLOGY ASSOC PLLC"/>
    <n v="371520288"/>
    <n v="30055934"/>
    <d v="2023-09-06T00:00:00"/>
    <d v="2023-09-06T00:00:00"/>
    <n v="1"/>
    <d v="2023-09-27T00:00:00"/>
    <x v="8"/>
    <n v="56"/>
    <d v="2023-08-01T00:00:00"/>
    <d v="2023-12-31T00:00:00"/>
    <n v="83605"/>
    <s v="ASSAY OF LACTIC ACID"/>
    <x v="0"/>
    <s v="Emergency Medicine"/>
    <n v="13"/>
    <n v="0"/>
    <n v="13"/>
    <n v="0"/>
    <n v="1"/>
    <s v="Paid"/>
    <n v="223299686"/>
    <s v="HCS120230926259026"/>
    <s v="HCS"/>
    <s v="R10.9"/>
    <s v="Unspecified abdominal pain"/>
    <n v="0"/>
    <m/>
    <s v="H"/>
    <n v="23"/>
    <m/>
  </r>
  <r>
    <s v="Jails"/>
    <s v="Fort Bend County Jail, TX"/>
    <s v="Fort Bend County Jail   (0131)"/>
    <n v="7212638"/>
    <s v="P00251942"/>
    <d v="1986-12-05T00:00:00"/>
    <m/>
    <s v="BLODGETT, KAYLEIGH"/>
    <s v="METHODIST PATHOLOGY ASSOC PLLC"/>
    <n v="371520288"/>
    <n v="30055934"/>
    <d v="2023-09-06T00:00:00"/>
    <d v="2023-09-06T00:00:00"/>
    <n v="1"/>
    <d v="2023-09-27T00:00:00"/>
    <x v="8"/>
    <n v="56"/>
    <d v="2023-08-01T00:00:00"/>
    <d v="2023-12-31T00:00:00"/>
    <n v="84703"/>
    <s v="CHORIONIC GONADOTROPIN ASSAY"/>
    <x v="0"/>
    <s v="Emergency Medicine"/>
    <n v="10.4"/>
    <n v="0"/>
    <n v="10.4"/>
    <n v="0"/>
    <n v="1"/>
    <s v="Paid"/>
    <n v="223299686"/>
    <s v="HCS120230926259026"/>
    <s v="HCS"/>
    <s v="R10.9"/>
    <s v="Unspecified abdominal pain"/>
    <n v="0"/>
    <m/>
    <s v="H"/>
    <n v="23"/>
    <m/>
  </r>
  <r>
    <s v="Jails"/>
    <s v="Fort Bend County Jail, TX"/>
    <s v="Fort Bend County Jail   (0131)"/>
    <n v="7212638"/>
    <s v="P00251942"/>
    <d v="1986-12-05T00:00:00"/>
    <m/>
    <s v="BLODGETT, KAYLEIGH"/>
    <s v="METHODIST PATHOLOGY ASSOC PLLC"/>
    <n v="371520288"/>
    <n v="30055934"/>
    <d v="2023-09-06T00:00:00"/>
    <d v="2023-09-06T00:00:00"/>
    <n v="1"/>
    <d v="2023-09-27T00:00:00"/>
    <x v="8"/>
    <n v="56"/>
    <d v="2023-08-01T00:00:00"/>
    <d v="2023-12-31T00:00:00"/>
    <n v="84484"/>
    <s v="ASSAY OF TROPONIN QUANT"/>
    <x v="0"/>
    <s v="Emergency Medicine"/>
    <n v="16.3"/>
    <n v="0"/>
    <n v="16.3"/>
    <n v="0"/>
    <n v="1"/>
    <s v="Paid"/>
    <n v="223299686"/>
    <s v="HCS120230926259026"/>
    <s v="HCS"/>
    <s v="R10.9"/>
    <s v="Unspecified abdominal pain"/>
    <n v="0"/>
    <m/>
    <s v="H"/>
    <n v="23"/>
    <m/>
  </r>
  <r>
    <s v="Jails"/>
    <s v="Fort Bend County Jail, TX"/>
    <s v="Fort Bend County Jail   (0131)"/>
    <n v="7212638"/>
    <s v="P00251942"/>
    <d v="1986-12-05T00:00:00"/>
    <m/>
    <s v="BLODGETT, KAYLEIGH"/>
    <s v="METHODIST PATHOLOGY ASSOC PLLC"/>
    <n v="371520288"/>
    <n v="30055934"/>
    <d v="2023-09-06T00:00:00"/>
    <d v="2023-09-06T00:00:00"/>
    <n v="1"/>
    <d v="2023-09-27T00:00:00"/>
    <x v="8"/>
    <n v="56"/>
    <d v="2023-08-01T00:00:00"/>
    <d v="2023-12-31T00:00:00"/>
    <n v="80307"/>
    <s v="DRUG TEST PRSMV CHEM ANLYZR"/>
    <x v="0"/>
    <s v="Emergency Medicine"/>
    <n v="48.9"/>
    <n v="0"/>
    <n v="48.9"/>
    <n v="0"/>
    <n v="1"/>
    <s v="Paid"/>
    <n v="223299686"/>
    <s v="HCS120230926259026"/>
    <s v="HCS"/>
    <s v="R10.9"/>
    <s v="Unspecified abdominal pain"/>
    <n v="0"/>
    <m/>
    <s v="H"/>
    <n v="23"/>
    <m/>
  </r>
  <r>
    <s v="Jails"/>
    <s v="Fort Bend County Jail, TX"/>
    <s v="Fort Bend County Jail   (0131)"/>
    <n v="7212638"/>
    <s v="P00251942"/>
    <d v="1986-12-05T00:00:00"/>
    <m/>
    <s v="BLODGETT, KAYLEIGH"/>
    <s v="METHODIST PATHOLOGY ASSOC PLLC"/>
    <n v="371520288"/>
    <n v="30055934"/>
    <d v="2023-09-06T00:00:00"/>
    <d v="2023-09-06T00:00:00"/>
    <n v="1"/>
    <d v="2023-09-27T00:00:00"/>
    <x v="8"/>
    <n v="56"/>
    <d v="2023-08-01T00:00:00"/>
    <d v="2023-12-31T00:00:00"/>
    <n v="85025"/>
    <s v="COMPLETE CBC W/AUTO DIFF WBC"/>
    <x v="0"/>
    <s v="Emergency Medicine"/>
    <n v="20.55"/>
    <n v="0"/>
    <n v="20.55"/>
    <n v="0"/>
    <n v="1"/>
    <s v="Paid"/>
    <n v="223299686"/>
    <s v="HCS120230926259026"/>
    <s v="HCS"/>
    <s v="R10.9"/>
    <s v="Unspecified abdominal pain"/>
    <n v="0"/>
    <m/>
    <s v="H"/>
    <n v="23"/>
    <m/>
  </r>
  <r>
    <s v="Jails"/>
    <s v="Fort Bend County Jail, TX"/>
    <s v="Fort Bend County Jail   (0131)"/>
    <n v="6874678"/>
    <s v="P00248725"/>
    <d v="2001-05-08T00:00:00"/>
    <m/>
    <s v="JEFFERSON, JAMES"/>
    <s v="METHODIST PATHOLOGY ASSOC PLLC"/>
    <n v="371520288"/>
    <n v="29121738"/>
    <d v="2023-08-21T00:00:00"/>
    <d v="2023-08-21T00:00:00"/>
    <n v="1"/>
    <d v="2023-09-20T00:00:00"/>
    <x v="4"/>
    <n v="14"/>
    <d v="2023-08-01T00:00:00"/>
    <d v="2023-12-31T00:00:00"/>
    <n v="85025"/>
    <s v="COMPLETE CBC W/AUTO DIFF WBC"/>
    <x v="0"/>
    <s v="Emergency Medicine"/>
    <n v="20.55"/>
    <n v="0"/>
    <n v="20.55"/>
    <n v="0"/>
    <n v="1"/>
    <s v="Paid"/>
    <n v="223292469"/>
    <s v="HCS120230918257034"/>
    <s v="HCS"/>
    <s v="M86.632"/>
    <s v="Other chronic osteomyelitis, left radius and ulna"/>
    <n v="0"/>
    <m/>
    <s v="H"/>
    <n v="23"/>
    <m/>
  </r>
  <r>
    <s v="Jails"/>
    <s v="Fort Bend County Jail, TX"/>
    <s v="Fort Bend County Jail   (0131)"/>
    <n v="6874678"/>
    <s v="P00248725"/>
    <d v="2001-05-08T00:00:00"/>
    <m/>
    <s v="JEFFERSON, JAMES"/>
    <s v="METHODIST PATHOLOGY ASSOC PLLC"/>
    <n v="371520288"/>
    <n v="29121738"/>
    <d v="2023-08-21T00:00:00"/>
    <d v="2023-08-21T00:00:00"/>
    <n v="1"/>
    <d v="2023-09-20T00:00:00"/>
    <x v="4"/>
    <n v="14"/>
    <d v="2023-08-01T00:00:00"/>
    <d v="2023-12-31T00:00:00"/>
    <n v="85610"/>
    <s v="PROTHROMBIN TIME"/>
    <x v="0"/>
    <s v="Emergency Medicine"/>
    <n v="7.4"/>
    <n v="0"/>
    <n v="7.4"/>
    <n v="0"/>
    <n v="1"/>
    <s v="Paid"/>
    <n v="223292469"/>
    <s v="HCS120230918257034"/>
    <s v="HCS"/>
    <s v="M86.632"/>
    <s v="Other chronic osteomyelitis, left radius and ulna"/>
    <n v="0"/>
    <m/>
    <s v="H"/>
    <n v="23"/>
    <m/>
  </r>
  <r>
    <s v="Jails"/>
    <s v="Fort Bend County Jail, TX"/>
    <s v="Fort Bend County Jail   (0131)"/>
    <n v="6874678"/>
    <s v="P00248725"/>
    <d v="2001-05-08T00:00:00"/>
    <m/>
    <s v="JEFFERSON, JAMES"/>
    <s v="METHODIST PATHOLOGY ASSOC PLLC"/>
    <n v="371520288"/>
    <n v="29121738"/>
    <d v="2023-08-21T00:00:00"/>
    <d v="2023-08-21T00:00:00"/>
    <n v="1"/>
    <d v="2023-09-20T00:00:00"/>
    <x v="4"/>
    <n v="14"/>
    <d v="2023-08-01T00:00:00"/>
    <d v="2023-12-31T00:00:00"/>
    <n v="85730"/>
    <s v="THROMBOPLASTIN TIME PARTIAL"/>
    <x v="0"/>
    <s v="Emergency Medicine"/>
    <n v="9"/>
    <n v="0"/>
    <n v="9"/>
    <n v="0"/>
    <n v="1"/>
    <s v="Paid"/>
    <n v="223292469"/>
    <s v="HCS120230918257034"/>
    <s v="HCS"/>
    <s v="M86.632"/>
    <s v="Other chronic osteomyelitis, left radius and ulna"/>
    <n v="0"/>
    <m/>
    <s v="H"/>
    <n v="23"/>
    <m/>
  </r>
  <r>
    <s v="Jails"/>
    <s v="Fort Bend County Jail, TX"/>
    <s v="Fort Bend County Jail   (0131)"/>
    <n v="6874678"/>
    <s v="P00248725"/>
    <d v="2001-05-08T00:00:00"/>
    <m/>
    <s v="JEFFERSON, JAMES"/>
    <s v="METHODIST PATHOLOGY ASSOC PLLC"/>
    <n v="371520288"/>
    <n v="29121738"/>
    <d v="2023-08-21T00:00:00"/>
    <d v="2023-08-21T00:00:00"/>
    <n v="1"/>
    <d v="2023-09-20T00:00:00"/>
    <x v="4"/>
    <n v="14"/>
    <d v="2023-08-01T00:00:00"/>
    <d v="2023-12-31T00:00:00"/>
    <n v="87040"/>
    <s v="BLOOD CULTURE FOR BACTERIA"/>
    <x v="0"/>
    <s v="Emergency Medicine"/>
    <n v="42.3"/>
    <n v="0"/>
    <n v="42.3"/>
    <n v="0"/>
    <n v="1"/>
    <s v="Paid"/>
    <n v="223292469"/>
    <s v="HCS120230918257034"/>
    <s v="HCS"/>
    <s v="M86.632"/>
    <s v="Other chronic osteomyelitis, left radius and ulna"/>
    <n v="0"/>
    <m/>
    <s v="H"/>
    <n v="23"/>
    <m/>
  </r>
  <r>
    <s v="Jails"/>
    <s v="Fort Bend County Jail, TX"/>
    <s v="Fort Bend County Jail   (0131)"/>
    <n v="6874678"/>
    <s v="P00248725"/>
    <d v="2001-05-08T00:00:00"/>
    <m/>
    <s v="JEFFERSON, JAMES"/>
    <s v="METHODIST PATHOLOGY ASSOC PLLC"/>
    <n v="371520288"/>
    <n v="29121738"/>
    <d v="2023-08-21T00:00:00"/>
    <d v="2023-08-21T00:00:00"/>
    <n v="1"/>
    <d v="2023-09-21T00:00:00"/>
    <x v="9"/>
    <n v="19"/>
    <d v="2023-08-01T00:00:00"/>
    <d v="2023-12-31T00:00:00"/>
    <n v="80048"/>
    <s v="METABOLIC PANEL TOTAL CA"/>
    <x v="0"/>
    <s v="Emergency Medicine"/>
    <n v="60.65"/>
    <n v="60.65"/>
    <n v="0"/>
    <n v="0"/>
    <n v="0"/>
    <s v="Paid"/>
    <n v="223294115"/>
    <s v="HCS120230918257033"/>
    <s v="HCS"/>
    <s v="M86.632"/>
    <s v="Other chronic osteomyelitis, left radius and ulna"/>
    <n v="0"/>
    <m/>
    <s v="H"/>
    <n v="23"/>
    <m/>
  </r>
  <r>
    <s v="Jails"/>
    <s v="Fort Bend County Jail, TX"/>
    <s v="Fort Bend County Jail   (0131)"/>
    <n v="6874678"/>
    <s v="P00248725"/>
    <d v="2001-05-08T00:00:00"/>
    <m/>
    <s v="JEFFERSON, JAMES"/>
    <s v="METHODIST PATHOLOGY ASSOC PLLC"/>
    <n v="371520288"/>
    <n v="29121738"/>
    <d v="2023-08-21T00:00:00"/>
    <d v="2023-08-21T00:00:00"/>
    <n v="1"/>
    <d v="2023-09-21T00:00:00"/>
    <x v="9"/>
    <n v="19"/>
    <d v="2023-08-01T00:00:00"/>
    <d v="2023-12-31T00:00:00"/>
    <n v="80076"/>
    <s v="HEPATIC FUNCTION PANEL"/>
    <x v="0"/>
    <s v="Emergency Medicine"/>
    <n v="67.8"/>
    <n v="67.8"/>
    <n v="0"/>
    <n v="0"/>
    <n v="0"/>
    <s v="Paid"/>
    <n v="223294115"/>
    <s v="HCS120230918257033"/>
    <s v="HCS"/>
    <s v="M86.632"/>
    <s v="Other chronic osteomyelitis, left radius and ulna"/>
    <n v="0"/>
    <m/>
    <s v="H"/>
    <n v="23"/>
    <m/>
  </r>
  <r>
    <s v="Jails"/>
    <s v="Fort Bend County Jail, TX"/>
    <s v="Fort Bend County Jail   (0131)"/>
    <n v="6874678"/>
    <s v="P00248725"/>
    <d v="2001-05-08T00:00:00"/>
    <m/>
    <s v="JEFFERSON, JAMES"/>
    <s v="METHODIST PATHOLOGY ASSOC PLLC"/>
    <n v="371520288"/>
    <n v="29121738"/>
    <d v="2023-08-21T00:00:00"/>
    <d v="2023-08-21T00:00:00"/>
    <n v="1"/>
    <d v="2023-09-21T00:00:00"/>
    <x v="9"/>
    <n v="19"/>
    <d v="2023-08-01T00:00:00"/>
    <d v="2023-12-31T00:00:00"/>
    <n v="83605"/>
    <s v="ASSAY OF LACTIC ACID"/>
    <x v="0"/>
    <s v="Emergency Medicine"/>
    <n v="13"/>
    <n v="13"/>
    <n v="0"/>
    <n v="0"/>
    <n v="0"/>
    <s v="Paid"/>
    <n v="223294115"/>
    <s v="HCS120230918257033"/>
    <s v="HCS"/>
    <s v="M86.632"/>
    <s v="Other chronic osteomyelitis, left radius and ulna"/>
    <n v="0"/>
    <m/>
    <s v="H"/>
    <n v="23"/>
    <m/>
  </r>
  <r>
    <s v="Jails"/>
    <s v="Fort Bend County Jail, TX"/>
    <s v="Fort Bend County Jail   (0131)"/>
    <n v="6874678"/>
    <s v="P00248725"/>
    <d v="2001-05-08T00:00:00"/>
    <m/>
    <s v="JEFFERSON, JAMES"/>
    <s v="METHODIST PATHOLOGY ASSOC PLLC"/>
    <n v="371520288"/>
    <n v="29121738"/>
    <d v="2023-08-21T00:00:00"/>
    <d v="2023-08-21T00:00:00"/>
    <n v="1"/>
    <d v="2023-09-21T00:00:00"/>
    <x v="9"/>
    <n v="19"/>
    <d v="2023-08-01T00:00:00"/>
    <d v="2023-12-31T00:00:00"/>
    <n v="83735"/>
    <s v="ASSAY OF MAGNESIUM"/>
    <x v="0"/>
    <s v="Emergency Medicine"/>
    <n v="15.05"/>
    <n v="15.05"/>
    <n v="0"/>
    <n v="0"/>
    <n v="0"/>
    <s v="Paid"/>
    <n v="223294115"/>
    <s v="HCS120230918257033"/>
    <s v="HCS"/>
    <s v="M86.632"/>
    <s v="Other chronic osteomyelitis, left radius and ulna"/>
    <n v="0"/>
    <m/>
    <s v="H"/>
    <n v="23"/>
    <m/>
  </r>
  <r>
    <s v="Jails"/>
    <s v="Fort Bend County Jail, TX"/>
    <s v="Fort Bend County Jail   (0131)"/>
    <n v="6874678"/>
    <s v="P00248725"/>
    <d v="2001-05-08T00:00:00"/>
    <m/>
    <s v="JEFFERSON, JAMES"/>
    <s v="METHODIST PATHOLOGY ASSOC PLLC"/>
    <n v="371520288"/>
    <n v="29121738"/>
    <d v="2023-08-21T00:00:00"/>
    <d v="2023-08-21T00:00:00"/>
    <n v="1"/>
    <d v="2023-09-21T00:00:00"/>
    <x v="9"/>
    <n v="19"/>
    <d v="2023-08-01T00:00:00"/>
    <d v="2023-12-31T00:00:00"/>
    <n v="84100"/>
    <s v="ASSAY OF PHOSPHORUS"/>
    <x v="0"/>
    <s v="Emergency Medicine"/>
    <n v="7.6"/>
    <n v="7.6"/>
    <n v="0"/>
    <n v="0"/>
    <n v="0"/>
    <s v="Paid"/>
    <n v="223294115"/>
    <s v="HCS120230918257033"/>
    <s v="HCS"/>
    <s v="M86.632"/>
    <s v="Other chronic osteomyelitis, left radius and ulna"/>
    <n v="0"/>
    <m/>
    <s v="H"/>
    <n v="23"/>
    <m/>
  </r>
  <r>
    <s v="Jails"/>
    <s v="Fort Bend County Jail, TX"/>
    <s v="Fort Bend County Jail   (0131)"/>
    <n v="6874678"/>
    <s v="P00248725"/>
    <d v="2001-05-08T00:00:00"/>
    <m/>
    <s v="JEFFERSON, JAMES"/>
    <s v="METHODIST PATHOLOGY ASSOC PLLC"/>
    <n v="371520288"/>
    <n v="29121738"/>
    <d v="2023-08-21T00:00:00"/>
    <d v="2023-08-21T00:00:00"/>
    <n v="1"/>
    <d v="2023-09-21T00:00:00"/>
    <x v="9"/>
    <n v="19"/>
    <d v="2023-08-01T00:00:00"/>
    <d v="2023-12-31T00:00:00"/>
    <n v="86140"/>
    <s v="C-REACTIVE PROTEIN"/>
    <x v="0"/>
    <s v="Emergency Medicine"/>
    <n v="7.65"/>
    <n v="7.65"/>
    <n v="0"/>
    <n v="0"/>
    <n v="0"/>
    <s v="Paid"/>
    <n v="223294115"/>
    <s v="HCS120230918257033"/>
    <s v="HCS"/>
    <s v="M86.632"/>
    <s v="Other chronic osteomyelitis, left radius and ulna"/>
    <n v="0"/>
    <m/>
    <s v="H"/>
    <n v="23"/>
    <m/>
  </r>
  <r>
    <s v="Jails"/>
    <s v="Fort Bend County Jail, TX"/>
    <s v="Fort Bend County Jail   (0131)"/>
    <n v="6782238"/>
    <s v="P00247757"/>
    <d v="1969-11-11T00:00:00"/>
    <m/>
    <s v="NUNEZ-CASTILLO, JUAN"/>
    <s v="METHODIST PATHOLOGY ASSOC PLLC"/>
    <n v="371520288"/>
    <n v="29025042"/>
    <d v="2023-08-14T00:00:00"/>
    <d v="2023-08-14T00:00:00"/>
    <n v="1"/>
    <d v="2023-12-07T00:00:00"/>
    <x v="1"/>
    <n v="6"/>
    <d v="2023-08-01T00:00:00"/>
    <d v="2023-12-31T00:00:00"/>
    <n v="83036"/>
    <s v="GLYCOSYLATED HEMOGLOBIN TEST"/>
    <x v="1"/>
    <s v="Urology"/>
    <n v="10"/>
    <n v="0"/>
    <n v="10"/>
    <n v="0"/>
    <n v="1"/>
    <s v="Paid"/>
    <n v="223406023"/>
    <s v="HCS120231206255045"/>
    <s v="HCS"/>
    <s v="Z01.818"/>
    <s v="Encounter for other preprocedural examination"/>
    <n v="0"/>
    <m/>
    <s v="H"/>
    <n v="22"/>
    <m/>
  </r>
  <r>
    <s v="Jails"/>
    <s v="Fort Bend County Jail, TX"/>
    <s v="Fort Bend County Jail   (0131)"/>
    <n v="6782238"/>
    <s v="P00247757"/>
    <d v="1969-11-11T00:00:00"/>
    <m/>
    <s v="NUNEZ-CASTILLO, JUAN"/>
    <s v="METHODIST PATHOLOGY ASSOC PLLC"/>
    <n v="371520288"/>
    <n v="29025042"/>
    <d v="2023-08-14T00:00:00"/>
    <d v="2023-08-14T00:00:00"/>
    <n v="1"/>
    <d v="2023-12-07T00:00:00"/>
    <x v="1"/>
    <n v="6"/>
    <d v="2023-08-01T00:00:00"/>
    <d v="2023-12-31T00:00:00"/>
    <n v="86850"/>
    <s v="RBC ANTIBODY SCREEN"/>
    <x v="1"/>
    <s v="Urology"/>
    <n v="13.45"/>
    <n v="0"/>
    <n v="13.45"/>
    <n v="0"/>
    <n v="1"/>
    <s v="Paid"/>
    <n v="223406023"/>
    <s v="HCS120231206255045"/>
    <s v="HCS"/>
    <s v="Z01.818"/>
    <s v="Encounter for other preprocedural examination"/>
    <n v="0"/>
    <m/>
    <s v="H"/>
    <n v="22"/>
    <m/>
  </r>
  <r>
    <s v="Jails"/>
    <s v="Fort Bend County Jail, TX"/>
    <s v="Fort Bend County Jail   (0131)"/>
    <n v="6782238"/>
    <s v="P00247757"/>
    <d v="1969-11-11T00:00:00"/>
    <m/>
    <s v="NUNEZ-CASTILLO, JUAN"/>
    <s v="METHODIST PATHOLOGY ASSOC PLLC"/>
    <n v="371520288"/>
    <n v="29025042"/>
    <d v="2023-08-14T00:00:00"/>
    <d v="2023-08-14T00:00:00"/>
    <n v="1"/>
    <d v="2023-12-07T00:00:00"/>
    <x v="1"/>
    <n v="6"/>
    <d v="2023-08-01T00:00:00"/>
    <d v="2023-12-31T00:00:00"/>
    <n v="86900"/>
    <s v="BLOOD TYPING SEROLOGIC ABO"/>
    <x v="1"/>
    <s v="Urology"/>
    <n v="8.1"/>
    <n v="0"/>
    <n v="8.1"/>
    <n v="0"/>
    <n v="1"/>
    <s v="Paid"/>
    <n v="223406023"/>
    <s v="HCS120231206255045"/>
    <s v="HCS"/>
    <s v="Z01.818"/>
    <s v="Encounter for other preprocedural examination"/>
    <n v="0"/>
    <m/>
    <s v="H"/>
    <n v="22"/>
    <m/>
  </r>
  <r>
    <s v="Jails"/>
    <s v="Fort Bend County Jail, TX"/>
    <s v="Fort Bend County Jail   (0131)"/>
    <n v="6782238"/>
    <s v="P00247757"/>
    <d v="1969-11-11T00:00:00"/>
    <m/>
    <s v="NUNEZ-CASTILLO, JUAN"/>
    <s v="METHODIST PATHOLOGY ASSOC PLLC"/>
    <n v="371520288"/>
    <n v="29025042"/>
    <d v="2023-08-14T00:00:00"/>
    <d v="2023-08-14T00:00:00"/>
    <n v="1"/>
    <d v="2023-12-07T00:00:00"/>
    <x v="1"/>
    <n v="6"/>
    <d v="2023-08-01T00:00:00"/>
    <d v="2023-12-31T00:00:00"/>
    <n v="86901"/>
    <s v="BLOOD TYPING SEROLOGIC RH(D)"/>
    <x v="1"/>
    <s v="Urology"/>
    <n v="9.0500000000000007"/>
    <n v="0"/>
    <n v="9.0500000000000007"/>
    <n v="0"/>
    <n v="1"/>
    <s v="Paid"/>
    <n v="223406023"/>
    <s v="HCS120231206255045"/>
    <s v="HCS"/>
    <s v="Z01.818"/>
    <s v="Encounter for other preprocedural examination"/>
    <n v="0"/>
    <m/>
    <s v="H"/>
    <n v="22"/>
    <m/>
  </r>
  <r>
    <s v="Jails"/>
    <s v="Fort Bend County Jail, TX"/>
    <s v="Fort Bend County Jail   (0131)"/>
    <n v="6782238"/>
    <s v="P00247757"/>
    <d v="1969-11-11T00:00:00"/>
    <m/>
    <s v="NUNEZ-CASTILLO, JUAN"/>
    <s v="METHODIST PATHOLOGY ASSOC PLLC"/>
    <n v="371520288"/>
    <n v="29025042"/>
    <d v="2023-08-14T00:00:00"/>
    <d v="2023-08-14T00:00:00"/>
    <n v="1"/>
    <d v="2023-12-07T00:00:00"/>
    <x v="1"/>
    <n v="6"/>
    <d v="2023-08-01T00:00:00"/>
    <d v="2023-12-31T00:00:00"/>
    <n v="85025"/>
    <s v="COMPLETE CBC W/AUTO DIFF WBC"/>
    <x v="1"/>
    <s v="Urology"/>
    <n v="20.55"/>
    <n v="0"/>
    <n v="20.55"/>
    <n v="0"/>
    <n v="1"/>
    <s v="Paid"/>
    <n v="223406023"/>
    <s v="HCS120231206255045"/>
    <s v="HCS"/>
    <s v="Z01.818"/>
    <s v="Encounter for other preprocedural examination"/>
    <n v="0"/>
    <m/>
    <s v="H"/>
    <n v="22"/>
    <m/>
  </r>
  <r>
    <s v="Jails"/>
    <s v="Fort Bend County Jail, TX"/>
    <s v="Fort Bend County Jail   (0131)"/>
    <n v="6782238"/>
    <s v="P00247757"/>
    <d v="1969-11-11T00:00:00"/>
    <m/>
    <s v="NUNEZ-CASTILLO, JUAN"/>
    <s v="MHHS SOUTHWEST HOSPITAL"/>
    <n v="741152597"/>
    <n v="29450662"/>
    <d v="2023-09-19T00:00:00"/>
    <d v="2023-09-24T00:00:00"/>
    <n v="5"/>
    <d v="2023-10-26T00:00:00"/>
    <x v="0"/>
    <n v="20"/>
    <d v="2023-08-01T00:00:00"/>
    <d v="2023-12-31T00:00:00"/>
    <m/>
    <m/>
    <x v="3"/>
    <s v="Critical Care Medicine"/>
    <n v="10175"/>
    <n v="0"/>
    <n v="7529.5"/>
    <n v="2645.5"/>
    <n v="0.74"/>
    <s v="Paid"/>
    <n v="223340164"/>
    <s v="HCS120231024274022"/>
    <s v="HCS"/>
    <s v="C64.1"/>
    <s v="Malignant neoplasm of right kidney, except renal pelvis"/>
    <n v="111"/>
    <n v="656"/>
    <s v="IU"/>
    <n v="0"/>
    <m/>
  </r>
  <r>
    <s v="Jails"/>
    <s v="Fort Bend County Jail, TX"/>
    <s v="Fort Bend County Jail   (0131)"/>
    <n v="6782238"/>
    <s v="P00247757"/>
    <d v="1969-11-11T00:00:00"/>
    <m/>
    <s v="NUNEZ-CASTILLO, JUAN"/>
    <s v="MHHS SOUTHWEST HOSPITAL"/>
    <n v="741152597"/>
    <n v="29450662"/>
    <d v="2023-09-19T00:00:00"/>
    <d v="2023-09-24T00:00:00"/>
    <n v="5"/>
    <d v="2023-10-26T00:00:00"/>
    <x v="0"/>
    <n v="20"/>
    <d v="2023-08-01T00:00:00"/>
    <d v="2023-12-31T00:00:00"/>
    <m/>
    <m/>
    <x v="3"/>
    <s v="Critical Care Medicine"/>
    <n v="55223.25"/>
    <n v="0"/>
    <n v="40865.199999999997"/>
    <n v="14358.05"/>
    <n v="0.7399"/>
    <s v="Paid"/>
    <n v="223340164"/>
    <s v="HCS120231024274022"/>
    <s v="HCS"/>
    <s v="C64.1"/>
    <s v="Malignant neoplasm of right kidney, except renal pelvis"/>
    <n v="111"/>
    <n v="656"/>
    <s v="IU"/>
    <n v="0"/>
    <m/>
  </r>
  <r>
    <s v="Jails"/>
    <s v="Fort Bend County Jail, TX"/>
    <s v="Fort Bend County Jail   (0131)"/>
    <n v="6782238"/>
    <s v="P00247757"/>
    <d v="1969-11-11T00:00:00"/>
    <m/>
    <s v="NUNEZ-CASTILLO, JUAN"/>
    <s v="MHHS SOUTHWEST HOSPITAL"/>
    <n v="741152597"/>
    <n v="29450662"/>
    <d v="2023-09-19T00:00:00"/>
    <d v="2023-09-24T00:00:00"/>
    <n v="5"/>
    <d v="2023-11-30T00:00:00"/>
    <x v="7"/>
    <n v="6"/>
    <d v="2023-08-01T00:00:00"/>
    <d v="2023-12-31T00:00:00"/>
    <m/>
    <m/>
    <x v="3"/>
    <s v="Critical Care Medicine"/>
    <n v="10175"/>
    <n v="10175"/>
    <n v="0"/>
    <n v="0"/>
    <n v="0"/>
    <s v="Paid"/>
    <n v="223396459"/>
    <s v="HCS120231129258005"/>
    <s v="HCS"/>
    <s v="C64.1"/>
    <s v="Malignant neoplasm of right kidney, except renal pelvis"/>
    <n v="111"/>
    <n v="656"/>
    <s v="IU"/>
    <n v="0"/>
    <m/>
  </r>
  <r>
    <s v="Jails"/>
    <s v="Fort Bend County Jail, TX"/>
    <s v="Fort Bend County Jail   (0131)"/>
    <n v="6782238"/>
    <s v="P00247757"/>
    <d v="1969-11-11T00:00:00"/>
    <m/>
    <s v="NUNEZ-CASTILLO, JUAN"/>
    <s v="MHHS SOUTHWEST HOSPITAL"/>
    <n v="741152597"/>
    <n v="29450662"/>
    <d v="2023-09-19T00:00:00"/>
    <d v="2023-09-24T00:00:00"/>
    <n v="5"/>
    <d v="2023-11-30T00:00:00"/>
    <x v="7"/>
    <n v="6"/>
    <d v="2023-08-01T00:00:00"/>
    <d v="2023-12-31T00:00:00"/>
    <m/>
    <m/>
    <x v="3"/>
    <s v="Critical Care Medicine"/>
    <n v="55223.25"/>
    <n v="55223.25"/>
    <n v="0"/>
    <n v="0"/>
    <n v="0"/>
    <s v="Paid"/>
    <n v="223396459"/>
    <s v="HCS120231129258005"/>
    <s v="HCS"/>
    <s v="C64.1"/>
    <s v="Malignant neoplasm of right kidney, except renal pelvis"/>
    <n v="111"/>
    <n v="656"/>
    <s v="IU"/>
    <n v="0"/>
    <m/>
  </r>
  <r>
    <s v="Jails"/>
    <s v="Fort Bend County Jail, TX"/>
    <s v="Fort Bend County Jail   (0131)"/>
    <n v="6782238"/>
    <s v="P00247757"/>
    <d v="1969-11-11T00:00:00"/>
    <m/>
    <s v="NUNEZ-CASTILLO, JUAN"/>
    <s v="MHHS SOUTHWEST HOSPITAL"/>
    <n v="741152597"/>
    <n v="29169952"/>
    <d v="2023-09-15T00:00:00"/>
    <d v="2023-09-15T00:00:00"/>
    <n v="1"/>
    <d v="2023-12-05T00:00:00"/>
    <x v="1"/>
    <n v="8"/>
    <d v="2023-08-01T00:00:00"/>
    <d v="2023-12-31T00:00:00"/>
    <n v="81001"/>
    <s v="URINALYSIS AUTO W/SCOPE"/>
    <x v="1"/>
    <s v="Urology"/>
    <n v="2285.25"/>
    <n v="0"/>
    <n v="1942.46"/>
    <n v="342.79"/>
    <n v="0.84989999999999999"/>
    <s v="Paid"/>
    <n v="223401880"/>
    <s v="HCS120231204282001"/>
    <s v="HCS"/>
    <s v="C64.1"/>
    <s v="Malignant neoplasm of right kidney, except renal pelvis"/>
    <n v="131"/>
    <m/>
    <s v="IU"/>
    <n v="0"/>
    <m/>
  </r>
  <r>
    <s v="Jails"/>
    <s v="Fort Bend County Jail, TX"/>
    <s v="Fort Bend County Jail   (0131)"/>
    <n v="4861247"/>
    <s v="P00137857"/>
    <d v="1989-01-23T00:00:00"/>
    <m/>
    <s v="ADAMS, BRYAN"/>
    <s v="OAKBEND MEDICAL CENTER"/>
    <n v="760339462"/>
    <n v="29507912"/>
    <d v="2023-09-23T00:00:00"/>
    <d v="2023-09-23T00:00:00"/>
    <n v="1"/>
    <d v="2023-10-16T00:00:00"/>
    <x v="5"/>
    <n v="9"/>
    <d v="2023-08-01T00:00:00"/>
    <d v="2023-12-31T00:00:00"/>
    <s v="J2405"/>
    <s v="INJECTION, ONDANSETRON HYDROCHLORIDE, PE"/>
    <x v="0"/>
    <s v="Emergency Medicine"/>
    <n v="3884.55"/>
    <n v="3884.55"/>
    <n v="0"/>
    <n v="0"/>
    <n v="0"/>
    <s v="Paid"/>
    <n v="223323876"/>
    <s v="HCS120231012270008"/>
    <s v="HCS"/>
    <s v="E86.0"/>
    <s v="Dehydration"/>
    <n v="131"/>
    <m/>
    <s v="IU"/>
    <n v="0"/>
    <m/>
  </r>
  <r>
    <s v="Jails"/>
    <s v="Fort Bend County Jail, TX"/>
    <s v="Fort Bend County Jail   (0131)"/>
    <n v="2116644"/>
    <s v="P00073124"/>
    <d v="1974-12-12T00:00:00"/>
    <m/>
    <s v="ANZALDUA, REBECCA"/>
    <s v="OAKBEND MEDICAL CENTER"/>
    <n v="760339462"/>
    <n v="29428987"/>
    <d v="2023-09-18T00:00:00"/>
    <d v="2023-09-21T00:00:00"/>
    <n v="3"/>
    <d v="2023-10-27T00:00:00"/>
    <x v="0"/>
    <n v="19"/>
    <d v="2023-08-01T00:00:00"/>
    <d v="2023-12-31T00:00:00"/>
    <m/>
    <m/>
    <x v="0"/>
    <s v="Emergency Medicine"/>
    <n v="5148"/>
    <n v="0"/>
    <n v="3191.76"/>
    <n v="1956.24"/>
    <n v="0.62"/>
    <s v="Paid"/>
    <n v="223344933"/>
    <s v="HCS120231025268002"/>
    <s v="HCS"/>
    <s v="A41.9"/>
    <s v="Sepsis, unspecified organism"/>
    <n v="111"/>
    <n v="871"/>
    <s v="IU"/>
    <n v="0"/>
    <m/>
  </r>
  <r>
    <s v="Jails"/>
    <s v="Fort Bend County Jail, TX"/>
    <s v="Fort Bend County Jail   (0131)"/>
    <n v="2116644"/>
    <s v="P00073124"/>
    <d v="1974-12-12T00:00:00"/>
    <m/>
    <s v="ANZALDUA, REBECCA"/>
    <s v="OAKBEND MEDICAL CENTER"/>
    <n v="760339462"/>
    <n v="29428987"/>
    <d v="2023-09-18T00:00:00"/>
    <d v="2023-09-21T00:00:00"/>
    <n v="3"/>
    <d v="2023-10-27T00:00:00"/>
    <x v="0"/>
    <n v="19"/>
    <d v="2023-08-01T00:00:00"/>
    <d v="2023-12-31T00:00:00"/>
    <m/>
    <m/>
    <x v="0"/>
    <s v="Emergency Medicine"/>
    <n v="20661.93"/>
    <n v="0"/>
    <n v="12810.39"/>
    <n v="7851.54"/>
    <n v="0.61990000000000001"/>
    <s v="Paid"/>
    <n v="223344933"/>
    <s v="HCS120231025268002"/>
    <s v="HCS"/>
    <s v="A41.9"/>
    <s v="Sepsis, unspecified organism"/>
    <n v="111"/>
    <n v="871"/>
    <s v="IU"/>
    <n v="0"/>
    <m/>
  </r>
  <r>
    <s v="Jails"/>
    <s v="Fort Bend County Jail, TX"/>
    <s v="Fort Bend County Jail   (0131)"/>
    <n v="7203426"/>
    <s v="P00251841"/>
    <d v="1989-11-19T00:00:00"/>
    <m/>
    <s v="BENTLEY, NICOLE"/>
    <s v="OAKBEND MEDICAL CENTER"/>
    <n v="760339462"/>
    <n v="29251129"/>
    <d v="2023-08-29T00:00:00"/>
    <d v="2023-08-29T00:00:00"/>
    <n v="1"/>
    <d v="2023-11-16T00:00:00"/>
    <x v="6"/>
    <n v="13"/>
    <d v="2023-08-01T00:00:00"/>
    <d v="2023-12-31T00:00:00"/>
    <n v="99283"/>
    <s v="EMERGENCY DEPT VISIT"/>
    <x v="0"/>
    <s v="Emergency Medicine"/>
    <n v="2048.8000000000002"/>
    <n v="0"/>
    <n v="1618.55"/>
    <n v="430.25"/>
    <n v="0.78990000000000005"/>
    <s v="Paid"/>
    <n v="223375688"/>
    <s v="HCS120231115272001"/>
    <s v="HCS"/>
    <s v="Z02.89"/>
    <s v="Encounter for other administrative examinations"/>
    <n v="131"/>
    <m/>
    <s v="IU"/>
    <n v="0"/>
    <m/>
  </r>
  <r>
    <s v="Jails"/>
    <s v="Fort Bend County Jail, TX"/>
    <s v="Fort Bend County Jail   (0131)"/>
    <n v="7178128"/>
    <s v="P00251550"/>
    <d v="1962-08-25T00:00:00"/>
    <m/>
    <s v="BOUDIN, WANDA"/>
    <s v="OAKBEND MEDICAL CENTER"/>
    <n v="760339462"/>
    <n v="29051785"/>
    <d v="2023-08-11T00:00:00"/>
    <d v="2023-08-11T00:00:00"/>
    <n v="1"/>
    <d v="2023-11-17T00:00:00"/>
    <x v="6"/>
    <n v="12"/>
    <d v="2023-08-01T00:00:00"/>
    <d v="2023-12-31T00:00:00"/>
    <s v="J1885"/>
    <s v="INJECTION, KETOROLAC TROMETHAMINE, PER 1"/>
    <x v="0"/>
    <s v="Emergency Medicine"/>
    <n v="3448.55"/>
    <n v="0"/>
    <n v="2724.35"/>
    <n v="724.2"/>
    <n v="0.78990000000000005"/>
    <s v="Paid"/>
    <n v="223377484"/>
    <s v="HCS120231115272005"/>
    <s v="HCS"/>
    <s v="S00.03XA"/>
    <s v="Contusion of scalp, initial encounter"/>
    <n v="131"/>
    <m/>
    <s v="IU"/>
    <n v="0"/>
    <m/>
  </r>
  <r>
    <s v="Jails"/>
    <s v="Fort Bend County Jail, TX"/>
    <s v="Fort Bend County Jail   (0131)"/>
    <n v="1950651"/>
    <s v="P00134615"/>
    <d v="1988-09-22T00:00:00"/>
    <m/>
    <s v="BROWN, KIMBERLY"/>
    <s v="OAKBEND MEDICAL CENTER"/>
    <n v="760339462"/>
    <n v="28996289"/>
    <d v="2023-08-14T00:00:00"/>
    <d v="2023-08-14T00:00:00"/>
    <n v="1"/>
    <d v="2023-10-25T00:00:00"/>
    <x v="3"/>
    <n v="14"/>
    <d v="2023-08-01T00:00:00"/>
    <d v="2023-12-31T00:00:00"/>
    <n v="76805"/>
    <s v="OB US &gt;/= 14 WKS SNGL FETUS"/>
    <x v="4"/>
    <s v="Ultrasound (US)"/>
    <n v="850"/>
    <n v="0"/>
    <n v="671.5"/>
    <n v="178.5"/>
    <n v="0.79"/>
    <s v="Paid"/>
    <n v="223339368"/>
    <s v="HCS120231024274027"/>
    <s v="HCS"/>
    <s v="Z36.89"/>
    <s v="Encounter for other specified antenatal screening"/>
    <n v="131"/>
    <m/>
    <s v="IU"/>
    <n v="0"/>
    <m/>
  </r>
  <r>
    <s v="Jails"/>
    <s v="Fort Bend County Jail, TX"/>
    <s v="Fort Bend County Jail   (0131)"/>
    <n v="4112041"/>
    <s v="P00138695"/>
    <d v="1982-10-29T00:00:00"/>
    <m/>
    <s v="CARDENAS, OSCAR"/>
    <s v="OAKBEND MEDICAL CENTER"/>
    <n v="760339462"/>
    <n v="29914267"/>
    <d v="2023-10-29T00:00:00"/>
    <d v="2023-10-29T00:00:00"/>
    <n v="1"/>
    <d v="2023-11-09T00:00:00"/>
    <x v="8"/>
    <n v="13"/>
    <d v="2023-08-01T00:00:00"/>
    <d v="2023-12-31T00:00:00"/>
    <s v="J1885"/>
    <s v="INJECTION, KETOROLAC TROMETHAMINE, PER 1"/>
    <x v="0"/>
    <s v="Emergency Medicine"/>
    <n v="2100.85"/>
    <n v="0"/>
    <n v="1659.67"/>
    <n v="441.18"/>
    <n v="0.78990000000000005"/>
    <s v="Paid"/>
    <n v="223365273"/>
    <s v="HCS120231107279040"/>
    <s v="HCS"/>
    <s v="S63.522A"/>
    <s v="Sprain of radiocarpal joint of left wrist, initial encounter"/>
    <n v="131"/>
    <m/>
    <s v="IU"/>
    <n v="0"/>
    <m/>
  </r>
  <r>
    <s v="Jails"/>
    <s v="Fort Bend County Jail, TX"/>
    <s v="Fort Bend County Jail   (0131)"/>
    <n v="7210511"/>
    <s v="P00251916"/>
    <d v="1983-03-03T00:00:00"/>
    <m/>
    <s v="CASKEY, CHRISTOPHER"/>
    <s v="OAKBEND MEDICAL CENTER"/>
    <n v="760339462"/>
    <n v="29280568"/>
    <d v="2023-09-03T00:00:00"/>
    <d v="2023-09-03T00:00:00"/>
    <n v="1"/>
    <d v="2023-10-13T00:00:00"/>
    <x v="5"/>
    <n v="12"/>
    <d v="2023-08-01T00:00:00"/>
    <d v="2023-12-31T00:00:00"/>
    <n v="99283"/>
    <s v="EMERGENCY DEPT VISIT"/>
    <x v="0"/>
    <s v="Emergency Medicine"/>
    <n v="1495.8"/>
    <n v="0"/>
    <n v="1181.68"/>
    <n v="314.12"/>
    <n v="0.78990000000000005"/>
    <s v="Paid"/>
    <n v="223319459"/>
    <s v="HCS120231012270009"/>
    <s v="HCS"/>
    <s v="F15.180"/>
    <s v="Other stimulant abuse with stimulant-induced anxiety disorder"/>
    <n v="131"/>
    <m/>
    <s v="IU"/>
    <n v="0"/>
    <m/>
  </r>
  <r>
    <s v="Jails"/>
    <s v="Fort Bend County Jail, TX"/>
    <s v="Fort Bend County Jail   (0131)"/>
    <n v="7292896"/>
    <s v="P00252831"/>
    <d v="2001-09-10T00:00:00"/>
    <m/>
    <s v="CASTANEDA, ALDO"/>
    <s v="OAKBEND MEDICAL CENTER"/>
    <n v="760339462"/>
    <n v="29914019"/>
    <d v="2023-10-29T00:00:00"/>
    <d v="2023-10-29T00:00:00"/>
    <n v="1"/>
    <d v="2023-11-08T00:00:00"/>
    <x v="8"/>
    <n v="14"/>
    <d v="2023-08-01T00:00:00"/>
    <d v="2023-12-31T00:00:00"/>
    <n v="99282"/>
    <s v="EMERGENCY DEPT VISIT"/>
    <x v="0"/>
    <s v="Emergency Medicine"/>
    <n v="703.5"/>
    <n v="0"/>
    <n v="555.76"/>
    <n v="147.74"/>
    <n v="0.78990000000000005"/>
    <s v="Paid"/>
    <n v="223362926"/>
    <s v="HCS120231107278001"/>
    <s v="HCS"/>
    <s v="Z04.1"/>
    <s v="Encounter for examination and observation following transport accident"/>
    <n v="131"/>
    <m/>
    <s v="IU"/>
    <n v="0"/>
    <m/>
  </r>
  <r>
    <s v="Jails"/>
    <s v="Fort Bend County Jail, TX"/>
    <s v="Fort Bend County Jail   (0131)"/>
    <n v="7311204"/>
    <s v="P00253026"/>
    <d v="1975-02-24T00:00:00"/>
    <m/>
    <s v="CUFFY, ELRY"/>
    <s v="OAKBEND MEDICAL CENTER"/>
    <n v="760339462"/>
    <n v="30073480"/>
    <d v="2023-11-10T00:00:00"/>
    <d v="2023-11-11T00:00:00"/>
    <n v="1"/>
    <d v="2023-12-08T00:00:00"/>
    <x v="1"/>
    <n v="5"/>
    <d v="2023-08-01T00:00:00"/>
    <d v="2023-12-31T00:00:00"/>
    <n v="99281"/>
    <s v="EMERGENCY DEPT VISIT"/>
    <x v="0"/>
    <s v="Emergency Medicine"/>
    <n v="366.45"/>
    <n v="0"/>
    <n v="289.49"/>
    <n v="76.959999999999994"/>
    <n v="0.78990000000000005"/>
    <s v="Paid"/>
    <n v="223408181"/>
    <s v="HCS120231204282010"/>
    <s v="HCS"/>
    <s v="Z04.1"/>
    <s v="Encounter for examination and observation following transport accident"/>
    <n v="131"/>
    <m/>
    <s v="IU"/>
    <n v="0"/>
    <m/>
  </r>
  <r>
    <s v="Jails"/>
    <s v="Fort Bend County Jail, TX"/>
    <s v="Fort Bend County Jail   (0131)"/>
    <n v="7212205"/>
    <s v="P00251936"/>
    <d v="1980-10-29T00:00:00"/>
    <m/>
    <s v="ESCOBAR VALENIC, JOSE"/>
    <s v="OAKBEND MEDICAL CENTER"/>
    <n v="760339462"/>
    <n v="29280477"/>
    <d v="2023-09-04T00:00:00"/>
    <d v="2023-09-04T00:00:00"/>
    <n v="1"/>
    <d v="2023-09-15T00:00:00"/>
    <x v="4"/>
    <n v="19"/>
    <d v="2023-08-01T00:00:00"/>
    <d v="2023-12-31T00:00:00"/>
    <n v="93005"/>
    <s v="ELECTROCARDIOGRAM TRACING"/>
    <x v="0"/>
    <s v="Emergency Medicine"/>
    <n v="6998.85"/>
    <n v="0"/>
    <n v="5529.09"/>
    <n v="1469.76"/>
    <n v="0.78990000000000005"/>
    <s v="Paid"/>
    <n v="223287460"/>
    <n v="91323222775649"/>
    <s v="HCS"/>
    <s v="S10.93XA"/>
    <s v="Contusion of unspecified part of neck, initial encounter"/>
    <n v="131"/>
    <m/>
    <s v="IU"/>
    <n v="0"/>
    <m/>
  </r>
  <r>
    <s v="Jails"/>
    <s v="Fort Bend County Jail, TX"/>
    <s v="Fort Bend County Jail   (0131)"/>
    <n v="7177103"/>
    <s v="P00251540"/>
    <d v="2002-04-29T00:00:00"/>
    <m/>
    <s v="FLORES, GIOVANNI"/>
    <s v="OAKBEND MEDICAL CENTER"/>
    <n v="760339462"/>
    <n v="29051907"/>
    <d v="2023-08-11T00:00:00"/>
    <d v="2023-08-11T00:00:00"/>
    <n v="1"/>
    <d v="2023-11-16T00:00:00"/>
    <x v="6"/>
    <n v="13"/>
    <d v="2023-08-01T00:00:00"/>
    <d v="2023-12-31T00:00:00"/>
    <n v="99281"/>
    <s v="EMERGENCY DEPT VISIT"/>
    <x v="0"/>
    <s v="Emergency Medicine"/>
    <n v="366.45"/>
    <n v="0"/>
    <n v="289.49"/>
    <n v="76.959999999999994"/>
    <n v="0.78990000000000005"/>
    <s v="Paid"/>
    <n v="223375332"/>
    <s v="HCS120231115272013"/>
    <s v="HCS"/>
    <s v="Z04.1"/>
    <s v="Encounter for examination and observation following transport accident"/>
    <n v="131"/>
    <m/>
    <s v="IU"/>
    <n v="0"/>
    <m/>
  </r>
  <r>
    <s v="Jails"/>
    <s v="Fort Bend County Jail, TX"/>
    <s v="Fort Bend County Jail   (0131)"/>
    <n v="2084895"/>
    <s v="P00178913"/>
    <d v="1963-10-26T00:00:00"/>
    <m/>
    <s v="FRYE, DERRICK"/>
    <s v="OAKBEND MEDICAL CENTER"/>
    <n v="760339462"/>
    <n v="29508388"/>
    <d v="2023-09-23T00:00:00"/>
    <d v="2023-09-23T00:00:00"/>
    <n v="1"/>
    <d v="2023-10-05T00:00:00"/>
    <x v="5"/>
    <n v="20"/>
    <d v="2023-08-01T00:00:00"/>
    <d v="2023-12-31T00:00:00"/>
    <n v="93005"/>
    <s v="ELECTROCARDIOGRAM TRACING"/>
    <x v="0"/>
    <s v="Emergency Medicine"/>
    <n v="2233.85"/>
    <n v="0"/>
    <n v="1764.74"/>
    <n v="469.11"/>
    <n v="0.78990000000000005"/>
    <s v="Paid"/>
    <n v="223309329"/>
    <s v="HCS120231003280039"/>
    <s v="HCS"/>
    <s v="F41.1"/>
    <s v="Generalized anxiety disorder"/>
    <n v="131"/>
    <m/>
    <s v="IU"/>
    <n v="0"/>
    <m/>
  </r>
  <r>
    <s v="Jails"/>
    <s v="Fort Bend County Jail, TX"/>
    <s v="Fort Bend County Jail   (0131)"/>
    <n v="7235271"/>
    <s v="P00252188"/>
    <d v="1975-07-13T00:00:00"/>
    <m/>
    <s v="HERNANDEZ-SANCH, ANACLETO"/>
    <s v="OAKBEND MEDICAL CENTER"/>
    <n v="760339462"/>
    <n v="29457576"/>
    <d v="2023-09-19T00:00:00"/>
    <d v="2023-09-19T00:00:00"/>
    <n v="1"/>
    <d v="2023-10-25T00:00:00"/>
    <x v="3"/>
    <n v="14"/>
    <d v="2023-08-01T00:00:00"/>
    <d v="2023-12-31T00:00:00"/>
    <s v="J0360"/>
    <s v="INJECTION, HYDRALAZINE HCL, UP TO 20 MG"/>
    <x v="0"/>
    <s v="Emergency Medicine"/>
    <n v="2879.35"/>
    <n v="0"/>
    <n v="2274.6799999999998"/>
    <n v="604.66999999999996"/>
    <n v="0.78990000000000005"/>
    <s v="Paid"/>
    <n v="223339450"/>
    <s v="HCS120231023299001"/>
    <s v="HCS"/>
    <s v="I10"/>
    <s v="Essential (primary) hypertension"/>
    <n v="131"/>
    <m/>
    <s v="IU"/>
    <n v="0"/>
    <m/>
  </r>
  <r>
    <s v="Jails"/>
    <s v="Fort Bend County Jail, TX"/>
    <s v="Fort Bend County Jail   (0131)"/>
    <n v="7255808"/>
    <s v="P00252407"/>
    <d v="1981-06-11T00:00:00"/>
    <m/>
    <s v="HILL, HAROLD"/>
    <s v="OAKBEND MEDICAL CENTER"/>
    <n v="760339462"/>
    <n v="29616920"/>
    <d v="2023-10-03T00:00:00"/>
    <d v="2023-10-03T00:00:00"/>
    <n v="1"/>
    <d v="2023-10-19T00:00:00"/>
    <x v="2"/>
    <n v="13"/>
    <d v="2023-08-01T00:00:00"/>
    <d v="2023-12-31T00:00:00"/>
    <n v="90715"/>
    <s v="TDAP VACCINE 7 YRS/&gt; IM"/>
    <x v="0"/>
    <s v="Emergency Medicine"/>
    <n v="1181.75"/>
    <n v="0"/>
    <n v="933.58"/>
    <n v="248.17"/>
    <n v="0.78990000000000005"/>
    <s v="Paid"/>
    <n v="223331525"/>
    <s v="HCS120231017277029"/>
    <s v="HCS"/>
    <s v="S80.811A"/>
    <s v="Abrasion, right lower leg, initial encounter"/>
    <n v="131"/>
    <m/>
    <s v="IU"/>
    <n v="0"/>
    <m/>
  </r>
  <r>
    <s v="Jails"/>
    <s v="Fort Bend County Jail, TX"/>
    <s v="Fort Bend County Jail   (0131)"/>
    <n v="7240124"/>
    <s v="P00252241"/>
    <d v="1990-08-19T00:00:00"/>
    <m/>
    <s v="HILL, TARAH"/>
    <s v="OAKBEND MEDICAL CENTER"/>
    <n v="760339462"/>
    <n v="29566528"/>
    <d v="2023-09-29T00:00:00"/>
    <d v="2023-09-29T00:00:00"/>
    <n v="1"/>
    <d v="2023-10-25T00:00:00"/>
    <x v="3"/>
    <n v="14"/>
    <d v="2023-08-01T00:00:00"/>
    <d v="2023-12-31T00:00:00"/>
    <s v="J1885"/>
    <s v="INJECTION, KETOROLAC TROMETHAMINE, PER 1"/>
    <x v="0"/>
    <s v="Emergency Medicine"/>
    <n v="7876.3"/>
    <n v="0"/>
    <n v="6222.27"/>
    <n v="1654.03"/>
    <n v="0.78990000000000005"/>
    <s v="Paid"/>
    <n v="223339433"/>
    <s v="HCS120231023298016"/>
    <s v="HCS"/>
    <s v="N20.0"/>
    <s v="Calculus of kidney"/>
    <n v="131"/>
    <m/>
    <s v="IU"/>
    <n v="0"/>
    <m/>
  </r>
  <r>
    <s v="Jails"/>
    <s v="Fort Bend County Jail, TX"/>
    <s v="Fort Bend County Jail   (0131)"/>
    <n v="7209719"/>
    <s v="P00251906"/>
    <d v="1981-03-06T00:00:00"/>
    <m/>
    <s v="IBARRA, FELIX"/>
    <s v="OAKBEND MEDICAL CENTER"/>
    <n v="760339462"/>
    <n v="29280654"/>
    <d v="2023-09-02T00:00:00"/>
    <d v="2023-09-02T00:00:00"/>
    <n v="1"/>
    <d v="2023-09-13T00:00:00"/>
    <x v="4"/>
    <n v="21"/>
    <d v="2023-08-01T00:00:00"/>
    <d v="2023-12-31T00:00:00"/>
    <n v="99282"/>
    <s v="EMERGENCY DEPT VISIT"/>
    <x v="0"/>
    <s v="Emergency Medicine"/>
    <n v="703.5"/>
    <n v="0"/>
    <n v="555.76"/>
    <n v="147.74"/>
    <n v="0.78990000000000005"/>
    <s v="Paid"/>
    <n v="223282986"/>
    <n v="91123212835532"/>
    <s v="HCS"/>
    <s v="Z02.89"/>
    <s v="Encounter for other administrative examinations"/>
    <n v="131"/>
    <m/>
    <s v="IU"/>
    <n v="0"/>
    <m/>
  </r>
  <r>
    <s v="Jails"/>
    <s v="Fort Bend County Jail, TX"/>
    <s v="Fort Bend County Jail   (0131)"/>
    <n v="5859773"/>
    <s v="P00239652"/>
    <d v="2001-11-26T00:00:00"/>
    <m/>
    <s v="JACKSON, ALEXIA"/>
    <s v="OAKBEND MEDICAL CENTER"/>
    <n v="760339462"/>
    <n v="29645065"/>
    <d v="2023-08-25T00:00:00"/>
    <d v="2023-08-26T00:00:00"/>
    <n v="1"/>
    <d v="2023-10-25T00:00:00"/>
    <x v="3"/>
    <n v="14"/>
    <d v="2023-08-01T00:00:00"/>
    <d v="2023-12-31T00:00:00"/>
    <m/>
    <m/>
    <x v="0"/>
    <s v="Emergency Medicine"/>
    <n v="6023.52"/>
    <n v="0"/>
    <n v="4758.58"/>
    <n v="1264.94"/>
    <n v="0.78990000000000005"/>
    <s v="Paid"/>
    <n v="223339461"/>
    <s v="HCS120231023299005"/>
    <s v="HCS"/>
    <s v="O46.93"/>
    <s v="Antepartum hemorrhage, unspecified, third trimester"/>
    <n v="131"/>
    <m/>
    <s v="IU"/>
    <n v="0"/>
    <m/>
  </r>
  <r>
    <s v="Jails"/>
    <s v="Fort Bend County Jail, TX"/>
    <s v="Fort Bend County Jail   (0131)"/>
    <n v="7197957"/>
    <s v="P00086686"/>
    <d v="1947-06-02T00:00:00"/>
    <m/>
    <s v="JACOB, KURIAN"/>
    <s v="OAKBEND MEDICAL CENTER"/>
    <n v="760339462"/>
    <n v="30108410"/>
    <d v="2023-11-15T00:00:00"/>
    <d v="2023-11-15T00:00:00"/>
    <n v="1"/>
    <d v="2023-11-30T00:00:00"/>
    <x v="7"/>
    <n v="6"/>
    <d v="2023-08-01T00:00:00"/>
    <d v="2023-12-31T00:00:00"/>
    <n v="96374"/>
    <s v="THER/PROPH/DIAG INJ IV PUSH"/>
    <x v="0"/>
    <s v="Emergency Medicine"/>
    <n v="2790.65"/>
    <n v="0"/>
    <n v="2204.61"/>
    <n v="586.04"/>
    <n v="0.78990000000000005"/>
    <s v="Paid"/>
    <n v="223396209"/>
    <s v="HCS120231128266010"/>
    <s v="HCS"/>
    <s v="E11.65"/>
    <s v="Type 2 diabetes mellitus with hyperglycemia"/>
    <n v="131"/>
    <m/>
    <s v="IU"/>
    <n v="0"/>
    <m/>
  </r>
  <r>
    <s v="Jails"/>
    <s v="Fort Bend County Jail, TX"/>
    <s v="Fort Bend County Jail   (0131)"/>
    <n v="4760720"/>
    <s v="P00230508"/>
    <d v="1987-02-22T00:00:00"/>
    <m/>
    <s v="JOHN, TIFFANY"/>
    <s v="OAKBEND MEDICAL CENTER"/>
    <n v="760339462"/>
    <n v="29695997"/>
    <d v="2023-10-11T00:00:00"/>
    <d v="2023-10-16T00:00:00"/>
    <n v="5"/>
    <d v="2023-11-07T00:00:00"/>
    <x v="6"/>
    <n v="22"/>
    <d v="2023-08-01T00:00:00"/>
    <d v="2023-12-31T00:00:00"/>
    <m/>
    <m/>
    <x v="0"/>
    <s v="Emergency Medicine"/>
    <n v="9620"/>
    <n v="0"/>
    <n v="5964.4"/>
    <n v="3655.6"/>
    <n v="0.62"/>
    <s v="Paid"/>
    <n v="223360946"/>
    <s v="HCS120231106301002"/>
    <s v="HCS"/>
    <s v="A41.89"/>
    <s v="Other specified sepsis"/>
    <n v="111"/>
    <n v="871"/>
    <s v="IU"/>
    <n v="0"/>
    <m/>
  </r>
  <r>
    <s v="Jails"/>
    <s v="Fort Bend County Jail, TX"/>
    <s v="Fort Bend County Jail   (0131)"/>
    <n v="4760720"/>
    <s v="P00230508"/>
    <d v="1987-02-22T00:00:00"/>
    <m/>
    <s v="JOHN, TIFFANY"/>
    <s v="OAKBEND MEDICAL CENTER"/>
    <n v="760339462"/>
    <n v="29695997"/>
    <d v="2023-10-11T00:00:00"/>
    <d v="2023-10-16T00:00:00"/>
    <n v="5"/>
    <d v="2023-11-07T00:00:00"/>
    <x v="6"/>
    <n v="22"/>
    <d v="2023-08-01T00:00:00"/>
    <d v="2023-12-31T00:00:00"/>
    <m/>
    <m/>
    <x v="0"/>
    <s v="Emergency Medicine"/>
    <n v="80563.12"/>
    <n v="0"/>
    <n v="49949.13"/>
    <n v="30613.99"/>
    <n v="0.61990000000000001"/>
    <s v="Paid"/>
    <n v="223360946"/>
    <s v="HCS120231106301002"/>
    <s v="HCS"/>
    <s v="A41.89"/>
    <s v="Other specified sepsis"/>
    <n v="111"/>
    <n v="871"/>
    <s v="IU"/>
    <n v="0"/>
    <m/>
  </r>
  <r>
    <s v="Jails"/>
    <s v="Fort Bend County Jail, TX"/>
    <s v="Fort Bend County Jail   (0131)"/>
    <n v="7011849"/>
    <s v="P00249901"/>
    <d v="2004-08-27T00:00:00"/>
    <m/>
    <s v="JUAREZ-SOLIS, EVER"/>
    <s v="OAKBEND MEDICAL CENTER"/>
    <n v="760339462"/>
    <n v="29640788"/>
    <d v="2023-08-20T00:00:00"/>
    <d v="2023-08-20T00:00:00"/>
    <n v="1"/>
    <d v="2023-10-26T00:00:00"/>
    <x v="3"/>
    <n v="13"/>
    <d v="2023-08-01T00:00:00"/>
    <d v="2023-12-31T00:00:00"/>
    <n v="93005"/>
    <s v="ELECTROCARDIOGRAM TRACING"/>
    <x v="0"/>
    <s v="Emergency Medicine"/>
    <n v="8401.25"/>
    <n v="0"/>
    <n v="6636.98"/>
    <n v="1764.27"/>
    <n v="0.78990000000000005"/>
    <s v="Paid"/>
    <n v="223340173"/>
    <s v="HCS120231024274023"/>
    <s v="HCS"/>
    <s v="R55"/>
    <s v="Syncope and collapse"/>
    <n v="131"/>
    <m/>
    <s v="IU"/>
    <n v="0"/>
    <m/>
  </r>
  <r>
    <s v="Jails"/>
    <s v="Fort Bend County Jail, TX"/>
    <s v="Fort Bend County Jail   (0131)"/>
    <n v="7165279"/>
    <s v="P00251423"/>
    <d v="2004-10-11T00:00:00"/>
    <m/>
    <s v="JULIAN, HAILEY"/>
    <s v="OAKBEND MEDICAL CENTER"/>
    <n v="760339462"/>
    <n v="28979760"/>
    <d v="2023-08-03T00:00:00"/>
    <d v="2023-08-03T00:00:00"/>
    <n v="1"/>
    <d v="2023-09-13T00:00:00"/>
    <x v="4"/>
    <n v="21"/>
    <d v="2023-08-01T00:00:00"/>
    <d v="2023-12-31T00:00:00"/>
    <n v="93005"/>
    <s v="ELECTROCARDIOGRAM TRACING"/>
    <x v="0"/>
    <s v="Emergency Medicine"/>
    <n v="10121.799999999999"/>
    <n v="0"/>
    <n v="7996.22"/>
    <n v="2125.58"/>
    <n v="0.78990000000000005"/>
    <s v="Paid"/>
    <n v="223282816"/>
    <n v="90723201369213"/>
    <s v="HCS"/>
    <s v="R10.31"/>
    <s v="Right lower quadrant pain"/>
    <n v="131"/>
    <m/>
    <s v="IU"/>
    <n v="0"/>
    <m/>
  </r>
  <r>
    <s v="Jails"/>
    <s v="Fort Bend County Jail, TX"/>
    <s v="Fort Bend County Jail   (0131)"/>
    <n v="6632521"/>
    <s v="P00128074"/>
    <d v="1986-02-13T00:00:00"/>
    <m/>
    <s v="MARTINEZ, ANTHONY"/>
    <s v="OAKBEND MEDICAL CENTER"/>
    <n v="760339462"/>
    <n v="28987420"/>
    <d v="2023-08-07T00:00:00"/>
    <d v="2023-08-08T00:00:00"/>
    <n v="1"/>
    <d v="2023-10-25T00:00:00"/>
    <x v="3"/>
    <n v="14"/>
    <d v="2023-08-01T00:00:00"/>
    <d v="2023-12-31T00:00:00"/>
    <n v="36600"/>
    <s v="WITHDRAWAL OF ARTERIAL BLOOD"/>
    <x v="0"/>
    <s v="Emergency Medicine"/>
    <n v="10369.89"/>
    <n v="0"/>
    <n v="8192.2099999999991"/>
    <n v="2177.6799999999998"/>
    <n v="0.78990000000000005"/>
    <s v="Paid"/>
    <n v="223339555"/>
    <s v="HCS120231023300001"/>
    <s v="HCS"/>
    <s v="T40.411A"/>
    <m/>
    <n v="131"/>
    <m/>
    <s v="IU"/>
    <n v="0"/>
    <m/>
  </r>
  <r>
    <s v="Jails"/>
    <s v="Fort Bend County Jail, TX"/>
    <s v="Fort Bend County Jail   (0131)"/>
    <n v="6829287"/>
    <s v="P00248211"/>
    <d v="1970-03-07T00:00:00"/>
    <m/>
    <s v="MATLOCK, KARA"/>
    <s v="OAKBEND MEDICAL CENTER"/>
    <n v="760339462"/>
    <n v="28963579"/>
    <d v="2023-08-07T00:00:00"/>
    <d v="2023-08-07T00:00:00"/>
    <n v="1"/>
    <d v="2023-10-25T00:00:00"/>
    <x v="3"/>
    <n v="14"/>
    <d v="2023-08-01T00:00:00"/>
    <d v="2023-12-31T00:00:00"/>
    <n v="76830"/>
    <s v="TRANSVAGINAL US NON-OB"/>
    <x v="4"/>
    <s v="Ultrasound (US)"/>
    <n v="850"/>
    <n v="0"/>
    <n v="671.5"/>
    <n v="178.5"/>
    <n v="0.79"/>
    <s v="Paid"/>
    <n v="223339469"/>
    <s v="HCS120231023299003"/>
    <s v="HCS"/>
    <s v="R10.2"/>
    <s v="Pelvic and perineal pain"/>
    <n v="131"/>
    <m/>
    <s v="IU"/>
    <n v="0"/>
    <m/>
  </r>
  <r>
    <s v="Jails"/>
    <s v="Fort Bend County Jail, TX"/>
    <s v="Fort Bend County Jail   (0131)"/>
    <n v="7265281"/>
    <s v="P00252505"/>
    <d v="1979-04-19T00:00:00"/>
    <m/>
    <s v="MAY, DANIEL"/>
    <s v="OAKBEND MEDICAL CENTER"/>
    <n v="760339462"/>
    <n v="29689757"/>
    <d v="2023-10-10T00:00:00"/>
    <d v="2023-10-10T00:00:00"/>
    <n v="1"/>
    <d v="2023-10-30T00:00:00"/>
    <x v="3"/>
    <n v="9"/>
    <d v="2023-08-01T00:00:00"/>
    <d v="2023-12-31T00:00:00"/>
    <s v="J1885"/>
    <s v="INJECTION, KETOROLAC TROMETHAMINE, PER 1"/>
    <x v="0"/>
    <s v="Emergency Medicine"/>
    <n v="3768.85"/>
    <n v="0"/>
    <n v="2977.39"/>
    <n v="791.46"/>
    <n v="0.78990000000000005"/>
    <s v="Paid"/>
    <n v="223346894"/>
    <s v="HCS120231024274024"/>
    <s v="HCS"/>
    <s v="N50.819"/>
    <s v="Testicular pain, unspecified"/>
    <n v="131"/>
    <m/>
    <s v="IU"/>
    <n v="0"/>
    <m/>
  </r>
  <r>
    <s v="Jails"/>
    <s v="Fort Bend County Jail, TX"/>
    <s v="Fort Bend County Jail   (0131)"/>
    <n v="7243806"/>
    <s v="P00110301"/>
    <d v="1975-02-12T00:00:00"/>
    <m/>
    <s v="MCCRORY-HEARON, FRANCIS"/>
    <s v="OAKBEND MEDICAL CENTER"/>
    <n v="760339462"/>
    <n v="29522101"/>
    <d v="2023-09-25T00:00:00"/>
    <d v="2023-09-25T00:00:00"/>
    <n v="1"/>
    <d v="2023-10-17T00:00:00"/>
    <x v="2"/>
    <n v="15"/>
    <d v="2023-08-01T00:00:00"/>
    <d v="2023-12-31T00:00:00"/>
    <n v="99283"/>
    <s v="EMERGENCY DEPT VISIT"/>
    <x v="0"/>
    <s v="Emergency Medicine"/>
    <n v="1498.5"/>
    <n v="0"/>
    <n v="1183.81"/>
    <n v="314.69"/>
    <n v="0.78990000000000005"/>
    <s v="Paid"/>
    <n v="223326459"/>
    <s v="HCS120231012270010"/>
    <s v="HCS"/>
    <s v="Z02.89"/>
    <s v="Encounter for other administrative examinations"/>
    <n v="131"/>
    <m/>
    <s v="IU"/>
    <n v="0"/>
    <m/>
  </r>
  <r>
    <s v="Jails"/>
    <s v="Fort Bend County Jail, TX"/>
    <s v="Fort Bend County Jail   (0131)"/>
    <n v="7159132"/>
    <s v="P94002264"/>
    <d v="1950-10-10T00:00:00"/>
    <m/>
    <s v="NORA, HELEN"/>
    <s v="OAKBEND MEDICAL CENTER"/>
    <n v="760339462"/>
    <n v="29042551"/>
    <d v="2023-08-14T00:00:00"/>
    <d v="2023-08-18T00:00:00"/>
    <n v="4"/>
    <d v="2023-10-25T00:00:00"/>
    <x v="0"/>
    <n v="21"/>
    <d v="2023-08-01T00:00:00"/>
    <d v="2023-12-31T00:00:00"/>
    <m/>
    <m/>
    <x v="0"/>
    <s v="Emergency Medicine"/>
    <n v="7072"/>
    <n v="0"/>
    <n v="4388.72"/>
    <n v="2683.28"/>
    <n v="0.62050000000000005"/>
    <s v="Paid"/>
    <n v="223339494"/>
    <s v="HCS120231023299002"/>
    <s v="HCS"/>
    <s v="I95.0"/>
    <s v="Idiopathic hypotension"/>
    <n v="111"/>
    <n v="315"/>
    <s v="IU"/>
    <n v="0"/>
    <m/>
  </r>
  <r>
    <s v="Jails"/>
    <s v="Fort Bend County Jail, TX"/>
    <s v="Fort Bend County Jail   (0131)"/>
    <n v="7159132"/>
    <s v="P94002264"/>
    <d v="1950-10-10T00:00:00"/>
    <m/>
    <s v="NORA, HELEN"/>
    <s v="OAKBEND MEDICAL CENTER"/>
    <n v="760339462"/>
    <n v="29042551"/>
    <d v="2023-08-14T00:00:00"/>
    <d v="2023-08-18T00:00:00"/>
    <n v="4"/>
    <d v="2023-10-25T00:00:00"/>
    <x v="0"/>
    <n v="21"/>
    <d v="2023-08-01T00:00:00"/>
    <d v="2023-12-31T00:00:00"/>
    <m/>
    <m/>
    <x v="0"/>
    <s v="Emergency Medicine"/>
    <n v="22522.18"/>
    <n v="0"/>
    <n v="13976.77"/>
    <n v="8545.41"/>
    <n v="0.62050000000000005"/>
    <s v="Paid"/>
    <n v="223339494"/>
    <s v="HCS120231023299002"/>
    <s v="HCS"/>
    <s v="I95.0"/>
    <s v="Idiopathic hypotension"/>
    <n v="111"/>
    <n v="315"/>
    <s v="IU"/>
    <n v="0"/>
    <m/>
  </r>
  <r>
    <s v="Jails"/>
    <s v="Fort Bend County Jail, TX"/>
    <s v="Fort Bend County Jail   (0131)"/>
    <n v="7159132"/>
    <s v="P94002264"/>
    <d v="1950-10-10T00:00:00"/>
    <m/>
    <s v="NORA, HELEN"/>
    <s v="OAKBEND MEDICAL CENTER"/>
    <n v="760339462"/>
    <n v="29386242"/>
    <d v="2023-09-13T00:00:00"/>
    <d v="2023-09-13T00:00:00"/>
    <n v="1"/>
    <d v="2023-11-02T00:00:00"/>
    <x v="0"/>
    <n v="13"/>
    <d v="2023-08-01T00:00:00"/>
    <d v="2023-12-31T00:00:00"/>
    <n v="99282"/>
    <s v="EMERGENCY DEPT VISIT"/>
    <x v="0"/>
    <s v="ER Evaluation"/>
    <n v="703.5"/>
    <n v="0"/>
    <n v="555.76"/>
    <n v="147.74"/>
    <n v="0.78990000000000005"/>
    <s v="Paid"/>
    <n v="223354129"/>
    <s v="HCS120231031272006"/>
    <s v="HCS"/>
    <s v="J44.9"/>
    <s v="Chronic obstructive pulmonary disease, unspecified"/>
    <n v="131"/>
    <m/>
    <s v="IU"/>
    <n v="0"/>
    <m/>
  </r>
  <r>
    <s v="Jails"/>
    <s v="Fort Bend County Jail, TX"/>
    <s v="Fort Bend County Jail   (0131)"/>
    <n v="7159132"/>
    <s v="P94002264"/>
    <d v="1950-10-10T00:00:00"/>
    <m/>
    <s v="NORA, HELEN"/>
    <s v="OAKBEND MEDICAL CENTER"/>
    <n v="760339462"/>
    <n v="29386242"/>
    <d v="2023-09-13T00:00:00"/>
    <d v="2023-09-13T00:00:00"/>
    <n v="1"/>
    <d v="2023-11-16T00:00:00"/>
    <x v="8"/>
    <n v="6"/>
    <d v="2023-08-01T00:00:00"/>
    <d v="2023-12-31T00:00:00"/>
    <n v="99282"/>
    <s v="EMERGENCY DEPT VISIT"/>
    <x v="0"/>
    <s v="ER Evaluation"/>
    <n v="703.5"/>
    <n v="703.5"/>
    <n v="0"/>
    <n v="0"/>
    <n v="0"/>
    <s v="Paid"/>
    <n v="223375318"/>
    <s v="HCS120231115272012"/>
    <s v="HCS"/>
    <s v="J44.9"/>
    <s v="Chronic obstructive pulmonary disease, unspecified"/>
    <n v="131"/>
    <m/>
    <s v="IU"/>
    <n v="0"/>
    <m/>
  </r>
  <r>
    <s v="Jails"/>
    <s v="Fort Bend County Jail, TX"/>
    <s v="Fort Bend County Jail   (0131)"/>
    <n v="7266689"/>
    <s v="P00252528"/>
    <d v="2003-10-10T00:00:00"/>
    <m/>
    <s v="ODLE, GRANT"/>
    <s v="OAKBEND MEDICAL CENTER"/>
    <n v="760339462"/>
    <n v="29696972"/>
    <d v="2023-10-11T00:00:00"/>
    <d v="2023-10-11T00:00:00"/>
    <n v="1"/>
    <d v="2023-10-31T00:00:00"/>
    <x v="0"/>
    <n v="15"/>
    <d v="2023-08-01T00:00:00"/>
    <d v="2023-12-31T00:00:00"/>
    <n v="99281"/>
    <s v="EMERGENCY DEPT VISIT"/>
    <x v="0"/>
    <s v="Emergency Medicine"/>
    <n v="366.45"/>
    <n v="0"/>
    <n v="289.49"/>
    <n v="76.959999999999994"/>
    <n v="0.78990000000000005"/>
    <s v="Paid"/>
    <n v="223348960"/>
    <s v="HCS120231030305002"/>
    <s v="HCS"/>
    <s v="Z04.1"/>
    <s v="Encounter for examination and observation following transport accident"/>
    <n v="131"/>
    <m/>
    <s v="IU"/>
    <n v="0"/>
    <m/>
  </r>
  <r>
    <s v="Jails"/>
    <s v="Fort Bend County Jail, TX"/>
    <s v="Fort Bend County Jail   (0131)"/>
    <n v="7211490"/>
    <s v="P00251926"/>
    <d v="2002-11-16T00:00:00"/>
    <m/>
    <s v="PROCTOR, DESHON"/>
    <s v="OAKBEND MEDICAL CENTER"/>
    <n v="760339462"/>
    <n v="29280268"/>
    <d v="2023-09-03T00:00:00"/>
    <d v="2023-09-03T00:00:00"/>
    <n v="1"/>
    <d v="2023-09-15T00:00:00"/>
    <x v="8"/>
    <n v="68"/>
    <d v="2023-08-01T00:00:00"/>
    <d v="2023-12-31T00:00:00"/>
    <n v="99282"/>
    <s v="EMERGENCY DEPT VISIT"/>
    <x v="0"/>
    <s v="Emergency Medicine"/>
    <n v="738.5"/>
    <n v="0"/>
    <n v="583.41"/>
    <n v="155.09"/>
    <n v="0.78990000000000005"/>
    <s v="Paid"/>
    <n v="223287462"/>
    <n v="91323222775650"/>
    <s v="HCS"/>
    <s v="Z02.89"/>
    <s v="Encounter for other administrative examinations"/>
    <n v="131"/>
    <m/>
    <s v="IU"/>
    <n v="0"/>
    <m/>
  </r>
  <r>
    <s v="Jails"/>
    <s v="Fort Bend County Jail, TX"/>
    <s v="Fort Bend County Jail   (0131)"/>
    <n v="7175207"/>
    <s v="P00251525"/>
    <d v="1996-04-29T00:00:00"/>
    <m/>
    <s v="SAPKOTA, KAPIL"/>
    <s v="OAKBEND MEDICAL CENTER"/>
    <n v="760339462"/>
    <n v="29014037"/>
    <d v="2023-08-10T00:00:00"/>
    <d v="2023-08-10T00:00:00"/>
    <n v="1"/>
    <d v="2023-09-19T00:00:00"/>
    <x v="4"/>
    <n v="15"/>
    <d v="2023-08-01T00:00:00"/>
    <d v="2023-12-31T00:00:00"/>
    <n v="99281"/>
    <s v="EMERGENCY DEPT VISIT"/>
    <x v="0"/>
    <s v="Emergency Medicine"/>
    <n v="366.45"/>
    <n v="0"/>
    <n v="289.49"/>
    <n v="76.959999999999994"/>
    <n v="0.78990000000000005"/>
    <s v="Paid"/>
    <n v="223291108"/>
    <s v="HCS120230918282049"/>
    <s v="HCS"/>
    <s v="Z04.1"/>
    <s v="Encounter for examination and observation following transport accident"/>
    <n v="131"/>
    <m/>
    <s v="IU"/>
    <n v="0"/>
    <m/>
  </r>
  <r>
    <s v="Jails"/>
    <s v="Fort Bend County Jail, TX"/>
    <s v="Fort Bend County Jail   (0131)"/>
    <n v="7229588"/>
    <s v="P00252127"/>
    <d v="1966-11-03T00:00:00"/>
    <m/>
    <s v="SUN, XIA"/>
    <s v="OAKBEND MEDICAL CENTER"/>
    <n v="760339462"/>
    <n v="29914829"/>
    <d v="2023-10-27T00:00:00"/>
    <d v="2023-10-27T00:00:00"/>
    <n v="1"/>
    <d v="2023-11-17T00:00:00"/>
    <x v="6"/>
    <n v="12"/>
    <d v="2023-08-01T00:00:00"/>
    <d v="2023-12-31T00:00:00"/>
    <n v="93005"/>
    <s v="ELECTROCARDIOGRAM TRACING"/>
    <x v="0"/>
    <s v="Emergency Medicine"/>
    <n v="3114.6"/>
    <n v="0"/>
    <n v="2460.5300000000002"/>
    <n v="654.07000000000005"/>
    <n v="0.78990000000000005"/>
    <s v="Paid"/>
    <n v="223377413"/>
    <s v="HCS120231115272004"/>
    <s v="HCS"/>
    <s v="I10"/>
    <s v="Essential (primary) hypertension"/>
    <n v="131"/>
    <m/>
    <s v="IU"/>
    <n v="0"/>
    <m/>
  </r>
  <r>
    <s v="Jails"/>
    <s v="Fort Bend County Jail, TX"/>
    <s v="Fort Bend County Jail   (0131)"/>
    <n v="7169970"/>
    <s v="P00156871"/>
    <d v="1987-09-30T00:00:00"/>
    <m/>
    <s v="TAYLOR, WILLIAM"/>
    <s v="OAKBEND MEDICAL CENTER"/>
    <n v="760339462"/>
    <n v="29280112"/>
    <d v="2023-09-02T00:00:00"/>
    <d v="2023-09-03T00:00:00"/>
    <n v="1"/>
    <d v="2023-09-14T00:00:00"/>
    <x v="4"/>
    <n v="20"/>
    <d v="2023-08-01T00:00:00"/>
    <d v="2023-12-31T00:00:00"/>
    <n v="70450"/>
    <s v="CT HEAD/BRAIN W/O DYE"/>
    <x v="0"/>
    <s v="Emergency Medicine"/>
    <n v="5631.4"/>
    <n v="0"/>
    <n v="4448.8"/>
    <n v="1182.5999999999999"/>
    <n v="0.78990000000000005"/>
    <s v="Paid"/>
    <n v="223285542"/>
    <n v="91223217793279"/>
    <s v="HCS"/>
    <s v="E86.0"/>
    <s v="Dehydration"/>
    <n v="131"/>
    <m/>
    <s v="IU"/>
    <n v="0"/>
    <m/>
  </r>
  <r>
    <s v="Jails"/>
    <s v="Fort Bend County Jail, TX"/>
    <s v="Fort Bend County Jail   (0131)"/>
    <n v="7169970"/>
    <s v="P00156871"/>
    <d v="1987-09-30T00:00:00"/>
    <m/>
    <s v="TAYLOR, WILLIAM"/>
    <s v="OAKBEND MEDICAL CENTER"/>
    <n v="760339462"/>
    <n v="29280112"/>
    <d v="2023-09-02T00:00:00"/>
    <d v="2023-09-03T00:00:00"/>
    <n v="1"/>
    <d v="2023-10-26T00:00:00"/>
    <x v="3"/>
    <n v="13"/>
    <d v="2023-08-01T00:00:00"/>
    <d v="2023-12-31T00:00:00"/>
    <n v="70450"/>
    <s v="CT HEAD/BRAIN W/O DYE"/>
    <x v="0"/>
    <s v="Emergency Medicine"/>
    <n v="5631.4"/>
    <n v="5631.4"/>
    <n v="0"/>
    <n v="0"/>
    <n v="0"/>
    <s v="Paid"/>
    <n v="223340160"/>
    <s v="HCS120231024274026"/>
    <s v="HCS"/>
    <s v="E86.0"/>
    <s v="Dehydration"/>
    <n v="131"/>
    <m/>
    <s v="IU"/>
    <n v="0"/>
    <m/>
  </r>
  <r>
    <s v="Jails"/>
    <s v="Fort Bend County Jail, TX"/>
    <s v="Fort Bend County Jail   (0131)"/>
    <n v="6386162"/>
    <s v="P00244001"/>
    <d v="1994-03-31T00:00:00"/>
    <m/>
    <s v="TOLAR, KEVIN"/>
    <s v="OAKBEND MEDICAL CENTER"/>
    <n v="760339462"/>
    <n v="29164049"/>
    <d v="2023-08-23T00:00:00"/>
    <d v="2023-08-24T00:00:00"/>
    <n v="1"/>
    <d v="2023-10-25T00:00:00"/>
    <x v="3"/>
    <n v="14"/>
    <d v="2023-08-01T00:00:00"/>
    <d v="2023-12-31T00:00:00"/>
    <m/>
    <m/>
    <x v="0"/>
    <s v="Emergency Medicine"/>
    <n v="5000.8999999999996"/>
    <n v="0"/>
    <n v="3950.71"/>
    <n v="1050.19"/>
    <n v="0.78990000000000005"/>
    <s v="Paid"/>
    <n v="223339532"/>
    <s v="HCS120231023299004"/>
    <s v="HCS"/>
    <s v="R07.89"/>
    <s v="Other chest pain"/>
    <n v="131"/>
    <m/>
    <s v="IU"/>
    <n v="0"/>
    <m/>
  </r>
  <r>
    <s v="Jails"/>
    <s v="Fort Bend County Jail, TX"/>
    <s v="Fort Bend County Jail   (0131)"/>
    <n v="6190845"/>
    <s v="P00242170"/>
    <d v="1958-03-20T00:00:00"/>
    <m/>
    <s v="TURNER, EARL"/>
    <s v="OAKBEND MEDICAL CENTER"/>
    <n v="760339462"/>
    <n v="29241234"/>
    <d v="2023-08-31T00:00:00"/>
    <d v="2023-09-02T00:00:00"/>
    <n v="2"/>
    <d v="2023-09-13T00:00:00"/>
    <x v="9"/>
    <n v="27"/>
    <d v="2023-08-01T00:00:00"/>
    <d v="2023-12-31T00:00:00"/>
    <n v="80053"/>
    <s v="COMPREHEN METABOLIC PANEL"/>
    <x v="0"/>
    <s v="Emergency Medicine"/>
    <n v="26234.799999999999"/>
    <n v="0"/>
    <n v="20725.490000000002"/>
    <n v="5509.31"/>
    <n v="0.78990000000000005"/>
    <s v="Paid"/>
    <n v="223282987"/>
    <n v="91123212835533"/>
    <s v="HCS"/>
    <s v="R47.1"/>
    <s v="Dysarthria and anarthria"/>
    <n v="131"/>
    <m/>
    <s v="IU"/>
    <n v="0"/>
    <m/>
  </r>
  <r>
    <s v="Jails"/>
    <s v="Fort Bend County Jail, TX"/>
    <s v="Fort Bend County Jail   (0131)"/>
    <n v="7296426"/>
    <s v="P00252863"/>
    <d v="1982-09-02T00:00:00"/>
    <m/>
    <s v="VENEGAS ROSALES, VICENTE"/>
    <s v="OAKBEND MEDICAL CENTER"/>
    <n v="760339462"/>
    <n v="29951930"/>
    <d v="2023-11-01T00:00:00"/>
    <d v="2023-11-03T00:00:00"/>
    <n v="2"/>
    <d v="2023-11-23T00:00:00"/>
    <x v="1"/>
    <n v="20"/>
    <d v="2023-08-01T00:00:00"/>
    <d v="2023-12-31T00:00:00"/>
    <m/>
    <m/>
    <x v="0"/>
    <s v="Emergency Medicine"/>
    <n v="3848"/>
    <n v="0"/>
    <n v="2385.7600000000002"/>
    <n v="1462.24"/>
    <n v="0.62"/>
    <s v="Paid"/>
    <n v="223386758"/>
    <s v="HCS120231121278004"/>
    <s v="HCS"/>
    <s v="E10.10"/>
    <s v="Type 1 diabetes mellitus with ketoacidosis without coma"/>
    <n v="111"/>
    <n v="639"/>
    <s v="IU"/>
    <n v="0"/>
    <m/>
  </r>
  <r>
    <s v="Jails"/>
    <s v="Fort Bend County Jail, TX"/>
    <s v="Fort Bend County Jail   (0131)"/>
    <n v="7296426"/>
    <s v="P00252863"/>
    <d v="1982-09-02T00:00:00"/>
    <m/>
    <s v="VENEGAS ROSALES, VICENTE"/>
    <s v="OAKBEND MEDICAL CENTER"/>
    <n v="760339462"/>
    <n v="29951930"/>
    <d v="2023-11-01T00:00:00"/>
    <d v="2023-11-03T00:00:00"/>
    <n v="2"/>
    <d v="2023-11-23T00:00:00"/>
    <x v="1"/>
    <n v="20"/>
    <d v="2023-08-01T00:00:00"/>
    <d v="2023-12-31T00:00:00"/>
    <m/>
    <m/>
    <x v="0"/>
    <s v="Emergency Medicine"/>
    <n v="18471.45"/>
    <n v="0"/>
    <n v="11452.29"/>
    <n v="7019.16"/>
    <n v="0.61990000000000001"/>
    <s v="Paid"/>
    <n v="223386758"/>
    <s v="HCS120231121278004"/>
    <s v="HCS"/>
    <s v="E10.10"/>
    <s v="Type 1 diabetes mellitus with ketoacidosis without coma"/>
    <n v="111"/>
    <n v="639"/>
    <s v="IU"/>
    <n v="0"/>
    <m/>
  </r>
  <r>
    <s v="Jails"/>
    <s v="Fort Bend County Jail, TX"/>
    <s v="Fort Bend County Jail   (0131)"/>
    <n v="7141839"/>
    <s v="P00251176"/>
    <d v="2005-03-15T00:00:00"/>
    <m/>
    <s v="WILLIAMS, JADEN"/>
    <s v="OAKBEND MEDICAL CENTER"/>
    <n v="760339462"/>
    <n v="29435948"/>
    <d v="2023-09-20T00:00:00"/>
    <d v="2023-09-20T00:00:00"/>
    <n v="1"/>
    <d v="2023-11-17T00:00:00"/>
    <x v="6"/>
    <n v="12"/>
    <d v="2023-08-01T00:00:00"/>
    <d v="2023-12-31T00:00:00"/>
    <n v="70470"/>
    <s v="CT HEAD/BRAIN W/O &amp; W/DYE"/>
    <x v="4"/>
    <s v="CT"/>
    <n v="2543"/>
    <n v="0"/>
    <n v="2008.97"/>
    <n v="534.03"/>
    <n v="0.79"/>
    <s v="Paid"/>
    <n v="223377656"/>
    <s v="HCS120231115272002"/>
    <s v="HCS"/>
    <s v="D17.0"/>
    <s v="Benign lipomatous neoplasm of skin and subcutaneous tissue of head, face and neck"/>
    <n v="131"/>
    <m/>
    <s v="IU"/>
    <n v="0"/>
    <m/>
  </r>
  <r>
    <s v="Jails"/>
    <s v="Fort Bend County Jail, TX"/>
    <s v="Fort Bend County Jail   (0131)"/>
    <n v="6599825"/>
    <s v="P00245964"/>
    <d v="1976-01-26T00:00:00"/>
    <m/>
    <s v="WILSON, LEELAND"/>
    <s v="OAKBEND MEDICAL CENTER"/>
    <n v="760339462"/>
    <n v="29174222"/>
    <d v="2023-08-24T00:00:00"/>
    <d v="2023-08-25T00:00:00"/>
    <n v="1"/>
    <d v="2023-10-26T00:00:00"/>
    <x v="3"/>
    <n v="13"/>
    <d v="2023-08-01T00:00:00"/>
    <d v="2023-12-31T00:00:00"/>
    <n v="83605"/>
    <s v="ASSAY OF LACTIC ACID"/>
    <x v="0"/>
    <s v="Emergency Medicine"/>
    <n v="8814.7000000000007"/>
    <n v="0"/>
    <n v="6963.61"/>
    <n v="1851.09"/>
    <n v="0.78990000000000005"/>
    <s v="Paid"/>
    <n v="223340145"/>
    <s v="HCS120231024274025"/>
    <s v="HCS"/>
    <s v="G40.409"/>
    <s v="Other generalized epilepsy and epileptic syndromes, not intractable, without status epilepticus"/>
    <n v="131"/>
    <m/>
    <s v="IU"/>
    <n v="0"/>
    <m/>
  </r>
  <r>
    <s v="Jails"/>
    <s v="Fort Bend County Jail, TX"/>
    <s v="Fort Bend County Jail   (0131)"/>
    <n v="6599825"/>
    <s v="P00245964"/>
    <d v="1976-01-26T00:00:00"/>
    <m/>
    <s v="WILSON, LEELAND"/>
    <s v="OAKBEND MEDICAL CENTER"/>
    <n v="760339462"/>
    <n v="29198314"/>
    <d v="2023-08-25T00:00:00"/>
    <d v="2023-08-30T00:00:00"/>
    <n v="5"/>
    <d v="2023-10-27T00:00:00"/>
    <x v="0"/>
    <n v="19"/>
    <d v="2023-08-01T00:00:00"/>
    <d v="2023-12-31T00:00:00"/>
    <m/>
    <m/>
    <x v="0"/>
    <s v="Emergency Medicine"/>
    <n v="9620"/>
    <n v="0"/>
    <n v="5964.4"/>
    <n v="3655.6"/>
    <n v="0.62"/>
    <s v="Paid"/>
    <n v="223344810"/>
    <s v="HCS120231025268001"/>
    <s v="HCS"/>
    <s v="G40.901"/>
    <s v="Epilepsy, unspecified, not intractable, with status epilepticus"/>
    <n v="111"/>
    <n v="101"/>
    <s v="IU"/>
    <n v="0"/>
    <m/>
  </r>
  <r>
    <s v="Jails"/>
    <s v="Fort Bend County Jail, TX"/>
    <s v="Fort Bend County Jail   (0131)"/>
    <n v="6599825"/>
    <s v="P00245964"/>
    <d v="1976-01-26T00:00:00"/>
    <m/>
    <s v="WILSON, LEELAND"/>
    <s v="OAKBEND MEDICAL CENTER"/>
    <n v="760339462"/>
    <n v="29198314"/>
    <d v="2023-08-25T00:00:00"/>
    <d v="2023-08-30T00:00:00"/>
    <n v="5"/>
    <d v="2023-10-27T00:00:00"/>
    <x v="0"/>
    <n v="19"/>
    <d v="2023-08-01T00:00:00"/>
    <d v="2023-12-31T00:00:00"/>
    <m/>
    <m/>
    <x v="0"/>
    <s v="Emergency Medicine"/>
    <n v="17534.5"/>
    <n v="0"/>
    <n v="10871.38"/>
    <n v="6663.12"/>
    <n v="0.61990000000000001"/>
    <s v="Paid"/>
    <n v="223344810"/>
    <s v="HCS120231025268001"/>
    <s v="HCS"/>
    <s v="G40.901"/>
    <s v="Epilepsy, unspecified, not intractable, with status epilepticus"/>
    <n v="111"/>
    <n v="101"/>
    <s v="IU"/>
    <n v="0"/>
    <m/>
  </r>
  <r>
    <s v="Jails"/>
    <s v="Fort Bend County Jail, TX"/>
    <s v="Fort Bend County Jail   (0131)"/>
    <n v="7167585"/>
    <s v="P00251450"/>
    <d v="2002-08-29T00:00:00"/>
    <m/>
    <s v="YOUNG, CHAUNCEY"/>
    <s v="OAKBEND MEDICAL CENTER"/>
    <n v="760339462"/>
    <n v="28979410"/>
    <d v="2023-08-04T00:00:00"/>
    <d v="2023-08-04T00:00:00"/>
    <n v="1"/>
    <d v="2023-11-16T00:00:00"/>
    <x v="6"/>
    <n v="13"/>
    <d v="2023-08-01T00:00:00"/>
    <d v="2023-12-31T00:00:00"/>
    <n v="99281"/>
    <s v="EMERGENCY DEPT VISIT"/>
    <x v="0"/>
    <s v="Emergency Medicine"/>
    <n v="366.45"/>
    <n v="0"/>
    <n v="289.49"/>
    <n v="76.959999999999994"/>
    <n v="0.78990000000000005"/>
    <s v="Paid"/>
    <n v="223375331"/>
    <s v="HCS120231115270013"/>
    <s v="HCS"/>
    <s v="Z00.00"/>
    <s v="Encounter for general adult medical examination without abnormal findings"/>
    <n v="131"/>
    <m/>
    <s v="IU"/>
    <n v="0"/>
    <m/>
  </r>
  <r>
    <s v="Jails"/>
    <s v="Fort Bend County Jail, TX"/>
    <s v="Fort Bend County Jail   (0131)"/>
    <n v="7261302"/>
    <s v="P00252455"/>
    <d v="2003-08-25T00:00:00"/>
    <m/>
    <s v="ZLOTEA, ELISA"/>
    <s v="OAKBEND MEDICAL CENTER"/>
    <n v="760339462"/>
    <n v="29686327"/>
    <d v="2023-10-10T00:00:00"/>
    <d v="2023-10-12T00:00:00"/>
    <n v="2"/>
    <d v="2023-10-27T00:00:00"/>
    <x v="3"/>
    <n v="12"/>
    <d v="2023-08-01T00:00:00"/>
    <d v="2023-12-31T00:00:00"/>
    <m/>
    <m/>
    <x v="0"/>
    <s v="Emergency Medicine"/>
    <n v="2080"/>
    <n v="2080"/>
    <n v="0"/>
    <n v="0"/>
    <n v="0"/>
    <s v="Paid"/>
    <n v="223344805"/>
    <s v="HCS120231025268008"/>
    <s v="HCS"/>
    <s v="O70.0"/>
    <s v="First degree perineal laceration during delivery"/>
    <n v="111"/>
    <n v="807"/>
    <s v="IU"/>
    <n v="0"/>
    <m/>
  </r>
  <r>
    <s v="Jails"/>
    <s v="Fort Bend County Jail, TX"/>
    <s v="Fort Bend County Jail   (0131)"/>
    <n v="7261302"/>
    <s v="P00252455"/>
    <d v="2003-08-25T00:00:00"/>
    <m/>
    <s v="ZLOTEA, ELISA"/>
    <s v="OAKBEND MEDICAL CENTER"/>
    <n v="760339462"/>
    <n v="29686327"/>
    <d v="2023-10-10T00:00:00"/>
    <d v="2023-10-12T00:00:00"/>
    <n v="2"/>
    <d v="2023-10-27T00:00:00"/>
    <x v="3"/>
    <n v="12"/>
    <d v="2023-08-01T00:00:00"/>
    <d v="2023-12-31T00:00:00"/>
    <m/>
    <m/>
    <x v="0"/>
    <s v="Emergency Medicine"/>
    <n v="13977.15"/>
    <n v="13977.15"/>
    <n v="0"/>
    <n v="0"/>
    <n v="0"/>
    <s v="Paid"/>
    <n v="223344805"/>
    <s v="HCS120231025268008"/>
    <s v="HCS"/>
    <s v="O70.0"/>
    <s v="First degree perineal laceration during delivery"/>
    <n v="111"/>
    <n v="807"/>
    <s v="IU"/>
    <n v="0"/>
    <m/>
  </r>
  <r>
    <s v="Jails"/>
    <s v="Fort Bend County Jail, TX"/>
    <s v="Fort Bend County Jail   (0131)"/>
    <n v="2116644"/>
    <s v="P00073124"/>
    <d v="1974-12-12T00:00:00"/>
    <m/>
    <s v="ANZALDUA, REBECCA"/>
    <s v="OAKBEND MEDICAL GROUP"/>
    <n v="760540476"/>
    <n v="29428987"/>
    <d v="2023-09-19T00:00:00"/>
    <d v="2023-09-19T00:00:00"/>
    <n v="1"/>
    <d v="2023-10-03T00:00:00"/>
    <x v="5"/>
    <n v="22"/>
    <d v="2023-08-01T00:00:00"/>
    <d v="2023-12-31T00:00:00"/>
    <n v="99232"/>
    <s v="SUBSEQUENT HOSPITAL CARE"/>
    <x v="0"/>
    <s v="Emergency Medicine"/>
    <n v="127"/>
    <n v="0"/>
    <n v="81.52"/>
    <n v="45.48"/>
    <n v="0.64180000000000004"/>
    <s v="Paid"/>
    <n v="223305730"/>
    <s v="HCS120231002252044"/>
    <s v="HCS"/>
    <s v="I21.4"/>
    <s v="Non-ST elevation (NSTEMI) myocardial infarction"/>
    <n v="0"/>
    <m/>
    <s v="H"/>
    <n v="21"/>
    <m/>
  </r>
  <r>
    <s v="Jails"/>
    <s v="Fort Bend County Jail, TX"/>
    <s v="Fort Bend County Jail   (0131)"/>
    <n v="2116644"/>
    <s v="P00073124"/>
    <d v="1974-12-12T00:00:00"/>
    <m/>
    <s v="ANZALDUA, REBECCA"/>
    <s v="OAKBEND MEDICAL GROUP"/>
    <n v="760540476"/>
    <n v="29428987"/>
    <d v="2023-09-18T00:00:00"/>
    <d v="2023-09-18T00:00:00"/>
    <n v="1"/>
    <d v="2023-10-19T00:00:00"/>
    <x v="3"/>
    <n v="20"/>
    <d v="2023-08-01T00:00:00"/>
    <d v="2023-12-31T00:00:00"/>
    <n v="93010"/>
    <s v="ELECTROCARDIOGRAM REPORT"/>
    <x v="0"/>
    <s v="Emergency Medicine"/>
    <n v="15"/>
    <n v="0"/>
    <n v="8.58"/>
    <n v="6.42"/>
    <n v="0.57199999999999995"/>
    <s v="Paid"/>
    <n v="223331494"/>
    <s v="HCS120231017256002"/>
    <s v="HCS"/>
    <s v="R07.9"/>
    <s v="Chest pain, unspecified"/>
    <n v="0"/>
    <m/>
    <s v="H"/>
    <n v="21"/>
    <m/>
  </r>
  <r>
    <s v="Jails"/>
    <s v="Fort Bend County Jail, TX"/>
    <s v="Fort Bend County Jail   (0131)"/>
    <n v="7212205"/>
    <s v="P00251936"/>
    <d v="1980-10-29T00:00:00"/>
    <m/>
    <s v="ESCOBAR VALENIC, JOSE"/>
    <s v="OAKBEND MEDICAL GROUP"/>
    <n v="760540476"/>
    <n v="29280477"/>
    <d v="2023-09-04T00:00:00"/>
    <d v="2023-09-04T00:00:00"/>
    <n v="1"/>
    <d v="2023-10-03T00:00:00"/>
    <x v="5"/>
    <n v="22"/>
    <d v="2023-08-01T00:00:00"/>
    <d v="2023-12-31T00:00:00"/>
    <n v="93010"/>
    <s v="ELECTROCARDIOGRAM REPORT"/>
    <x v="0"/>
    <s v="Emergency Medicine"/>
    <n v="15"/>
    <n v="0"/>
    <n v="8.58"/>
    <n v="6.42"/>
    <n v="0.57199999999999995"/>
    <s v="Paid"/>
    <n v="223305561"/>
    <s v="HCS120231002252043"/>
    <s v="HCS"/>
    <s v="R07.9"/>
    <s v="Chest pain, unspecified"/>
    <n v="0"/>
    <m/>
    <s v="H"/>
    <n v="23"/>
    <m/>
  </r>
  <r>
    <s v="Jails"/>
    <s v="Fort Bend County Jail, TX"/>
    <s v="Fort Bend County Jail   (0131)"/>
    <n v="2084895"/>
    <s v="P00178913"/>
    <d v="1963-10-26T00:00:00"/>
    <m/>
    <s v="FRYE, DERRICK"/>
    <s v="OAKBEND MEDICAL GROUP"/>
    <n v="760540476"/>
    <n v="29508388"/>
    <d v="2023-09-23T00:00:00"/>
    <d v="2023-09-23T00:00:00"/>
    <n v="1"/>
    <d v="2023-10-25T00:00:00"/>
    <x v="3"/>
    <n v="14"/>
    <d v="2023-08-01T00:00:00"/>
    <d v="2023-12-31T00:00:00"/>
    <n v="93010"/>
    <s v="ELECTROCARDIOGRAM REPORT"/>
    <x v="0"/>
    <s v="Emergency Medicine"/>
    <n v="15"/>
    <n v="0"/>
    <n v="8.58"/>
    <n v="6.42"/>
    <n v="0.57199999999999995"/>
    <s v="Paid"/>
    <n v="223339082"/>
    <s v="HCS120231023268028"/>
    <s v="HCS"/>
    <s v="R06.02"/>
    <s v="Shortness of breath"/>
    <n v="0"/>
    <m/>
    <s v="H"/>
    <n v="23"/>
    <m/>
  </r>
  <r>
    <s v="Jails"/>
    <s v="Fort Bend County Jail, TX"/>
    <s v="Fort Bend County Jail   (0131)"/>
    <n v="4760720"/>
    <s v="P00230508"/>
    <d v="1987-02-22T00:00:00"/>
    <m/>
    <s v="JOHN, TIFFANY"/>
    <s v="OAKBEND MEDICAL GROUP"/>
    <n v="760540476"/>
    <n v="29695997"/>
    <d v="2023-10-11T00:00:00"/>
    <d v="2023-10-11T00:00:00"/>
    <n v="1"/>
    <d v="2023-10-26T00:00:00"/>
    <x v="3"/>
    <n v="13"/>
    <d v="2023-08-01T00:00:00"/>
    <d v="2023-12-31T00:00:00"/>
    <n v="99291"/>
    <s v="CRITICAL CARE FIRST HOUR"/>
    <x v="0"/>
    <s v="Emergency Medicine"/>
    <n v="440"/>
    <n v="0"/>
    <n v="256.19"/>
    <n v="183.81"/>
    <n v="0.58220000000000005"/>
    <s v="Paid"/>
    <n v="223340139"/>
    <s v="HCS120231024257021"/>
    <s v="HCS"/>
    <s v="I10"/>
    <s v="Essential (primary) hypertension"/>
    <n v="0"/>
    <m/>
    <s v="H"/>
    <n v="21"/>
    <m/>
  </r>
  <r>
    <s v="Jails"/>
    <s v="Fort Bend County Jail, TX"/>
    <s v="Fort Bend County Jail   (0131)"/>
    <n v="4760720"/>
    <s v="P00230508"/>
    <d v="1987-02-22T00:00:00"/>
    <m/>
    <s v="JOHN, TIFFANY"/>
    <s v="OAKBEND MEDICAL GROUP"/>
    <n v="760540476"/>
    <n v="29695997"/>
    <d v="2023-10-12T00:00:00"/>
    <d v="2023-10-12T00:00:00"/>
    <n v="1"/>
    <d v="2023-10-26T00:00:00"/>
    <x v="3"/>
    <n v="13"/>
    <d v="2023-08-01T00:00:00"/>
    <d v="2023-12-31T00:00:00"/>
    <n v="99291"/>
    <s v="CRITICAL CARE FIRST HOUR"/>
    <x v="0"/>
    <s v="Emergency Medicine"/>
    <n v="440"/>
    <n v="0"/>
    <n v="256.19"/>
    <n v="183.81"/>
    <n v="0.58220000000000005"/>
    <s v="Paid"/>
    <n v="223340139"/>
    <s v="HCS120231024257021"/>
    <s v="HCS"/>
    <s v="I10"/>
    <s v="Essential (primary) hypertension"/>
    <n v="0"/>
    <m/>
    <s v="H"/>
    <n v="21"/>
    <m/>
  </r>
  <r>
    <s v="Jails"/>
    <s v="Fort Bend County Jail, TX"/>
    <s v="Fort Bend County Jail   (0131)"/>
    <n v="4760720"/>
    <s v="P00230508"/>
    <d v="1987-02-22T00:00:00"/>
    <m/>
    <s v="JOHN, TIFFANY"/>
    <s v="OAKBEND MEDICAL GROUP"/>
    <n v="760540476"/>
    <n v="29695997"/>
    <d v="2023-10-13T00:00:00"/>
    <d v="2023-10-13T00:00:00"/>
    <n v="1"/>
    <d v="2023-10-26T00:00:00"/>
    <x v="3"/>
    <n v="13"/>
    <d v="2023-08-01T00:00:00"/>
    <d v="2023-12-31T00:00:00"/>
    <n v="99291"/>
    <s v="CRITICAL CARE FIRST HOUR"/>
    <x v="0"/>
    <s v="Emergency Medicine"/>
    <n v="440"/>
    <n v="0"/>
    <n v="256.19"/>
    <n v="183.81"/>
    <n v="0.58220000000000005"/>
    <s v="Paid"/>
    <n v="223340139"/>
    <s v="HCS120231024257021"/>
    <s v="HCS"/>
    <s v="I10"/>
    <s v="Essential (primary) hypertension"/>
    <n v="0"/>
    <m/>
    <s v="H"/>
    <n v="21"/>
    <m/>
  </r>
  <r>
    <s v="Jails"/>
    <s v="Fort Bend County Jail, TX"/>
    <s v="Fort Bend County Jail   (0131)"/>
    <n v="4760720"/>
    <s v="P00230508"/>
    <d v="1987-02-22T00:00:00"/>
    <m/>
    <s v="JOHN, TIFFANY"/>
    <s v="OAKBEND MEDICAL GROUP"/>
    <n v="760540476"/>
    <n v="29695997"/>
    <d v="2023-10-14T00:00:00"/>
    <d v="2023-10-14T00:00:00"/>
    <n v="1"/>
    <d v="2023-10-27T00:00:00"/>
    <x v="3"/>
    <n v="12"/>
    <d v="2023-08-01T00:00:00"/>
    <d v="2023-12-31T00:00:00"/>
    <n v="99291"/>
    <s v="CRITICAL CARE FIRST HOUR"/>
    <x v="0"/>
    <s v="Emergency Medicine"/>
    <n v="440"/>
    <n v="0"/>
    <n v="256.19"/>
    <n v="183.81"/>
    <n v="0.58220000000000005"/>
    <s v="Paid"/>
    <n v="223344778"/>
    <s v="HCS120231025263037"/>
    <s v="HCS"/>
    <s v="I10"/>
    <s v="Essential (primary) hypertension"/>
    <n v="0"/>
    <m/>
    <s v="H"/>
    <n v="21"/>
    <m/>
  </r>
  <r>
    <s v="Jails"/>
    <s v="Fort Bend County Jail, TX"/>
    <s v="Fort Bend County Jail   (0131)"/>
    <n v="4760720"/>
    <s v="P00230508"/>
    <d v="1987-02-22T00:00:00"/>
    <m/>
    <s v="JOHN, TIFFANY"/>
    <s v="OAKBEND MEDICAL GROUP"/>
    <n v="760540476"/>
    <n v="29695997"/>
    <d v="2023-10-15T00:00:00"/>
    <d v="2023-10-15T00:00:00"/>
    <n v="1"/>
    <d v="2023-10-31T00:00:00"/>
    <x v="3"/>
    <n v="8"/>
    <d v="2023-08-01T00:00:00"/>
    <d v="2023-12-31T00:00:00"/>
    <n v="99254"/>
    <s v="INPATIENT CONSULTATION"/>
    <x v="0"/>
    <s v="Emergency Medicine"/>
    <n v="275"/>
    <n v="0"/>
    <n v="159.25"/>
    <n v="115.75"/>
    <n v="0.57899999999999996"/>
    <s v="Paid"/>
    <n v="223348742"/>
    <s v="HCS120231030278041"/>
    <s v="HCS"/>
    <s v="R00.1"/>
    <s v="Bradycardia, unspecified"/>
    <n v="0"/>
    <m/>
    <s v="H"/>
    <n v="2"/>
    <m/>
  </r>
  <r>
    <s v="Jails"/>
    <s v="Fort Bend County Jail, TX"/>
    <s v="Fort Bend County Jail   (0131)"/>
    <n v="4760720"/>
    <s v="P00230508"/>
    <d v="1987-02-22T00:00:00"/>
    <m/>
    <s v="JOHN, TIFFANY"/>
    <s v="OAKBEND MEDICAL GROUP"/>
    <n v="760540476"/>
    <n v="29695997"/>
    <d v="2023-10-16T00:00:00"/>
    <d v="2023-10-16T00:00:00"/>
    <n v="1"/>
    <d v="2023-10-31T00:00:00"/>
    <x v="3"/>
    <n v="8"/>
    <d v="2023-08-01T00:00:00"/>
    <d v="2023-12-31T00:00:00"/>
    <n v="93010"/>
    <s v="ELECTROCARDIOGRAM REPORT"/>
    <x v="0"/>
    <s v="Emergency Medicine"/>
    <n v="15"/>
    <n v="0"/>
    <n v="8.58"/>
    <n v="6.42"/>
    <n v="0.57199999999999995"/>
    <s v="Paid"/>
    <n v="223348904"/>
    <s v="HCS120231030278042"/>
    <s v="HCS"/>
    <s v="R00.1"/>
    <s v="Bradycardia, unspecified"/>
    <n v="0"/>
    <m/>
    <s v="H"/>
    <n v="21"/>
    <m/>
  </r>
  <r>
    <s v="Jails"/>
    <s v="Fort Bend County Jail, TX"/>
    <s v="Fort Bend County Jail   (0131)"/>
    <n v="4760720"/>
    <s v="P00230508"/>
    <d v="1987-02-22T00:00:00"/>
    <m/>
    <s v="JOHN, TIFFANY"/>
    <s v="OAKBEND MEDICAL GROUP"/>
    <n v="760540476"/>
    <n v="29695997"/>
    <d v="2023-10-13T00:00:00"/>
    <d v="2023-10-13T00:00:00"/>
    <n v="1"/>
    <d v="2023-10-31T00:00:00"/>
    <x v="3"/>
    <n v="8"/>
    <d v="2023-08-01T00:00:00"/>
    <d v="2023-12-31T00:00:00"/>
    <n v="99291"/>
    <s v="CRITICAL CARE FIRST HOUR"/>
    <x v="0"/>
    <s v="Emergency Medicine"/>
    <n v="440"/>
    <n v="440"/>
    <n v="0"/>
    <n v="0"/>
    <n v="0"/>
    <s v="Paid"/>
    <n v="223348908"/>
    <s v="HCS120231030278039"/>
    <s v="HCS"/>
    <s v="I10"/>
    <s v="Essential (primary) hypertension"/>
    <n v="0"/>
    <m/>
    <s v="H"/>
    <n v="21"/>
    <m/>
  </r>
  <r>
    <s v="Jails"/>
    <s v="Fort Bend County Jail, TX"/>
    <s v="Fort Bend County Jail   (0131)"/>
    <n v="4760720"/>
    <s v="P00230508"/>
    <d v="1987-02-22T00:00:00"/>
    <m/>
    <s v="JOHN, TIFFANY"/>
    <s v="OAKBEND MEDICAL GROUP"/>
    <n v="760540476"/>
    <n v="29695997"/>
    <d v="2023-10-16T00:00:00"/>
    <d v="2023-10-16T00:00:00"/>
    <n v="1"/>
    <d v="2023-10-31T00:00:00"/>
    <x v="3"/>
    <n v="8"/>
    <d v="2023-08-01T00:00:00"/>
    <d v="2023-12-31T00:00:00"/>
    <n v="99291"/>
    <s v="CRITICAL CARE FIRST HOUR"/>
    <x v="0"/>
    <s v="Emergency Medicine"/>
    <n v="440"/>
    <n v="0"/>
    <n v="256.19"/>
    <n v="183.81"/>
    <n v="0.58220000000000005"/>
    <s v="Paid"/>
    <n v="223348916"/>
    <s v="HCS120231030278043"/>
    <s v="HCS"/>
    <s v="R57.0"/>
    <s v="Cardiogenic shock"/>
    <n v="0"/>
    <m/>
    <s v="H"/>
    <n v="21"/>
    <m/>
  </r>
  <r>
    <s v="Jails"/>
    <s v="Fort Bend County Jail, TX"/>
    <s v="Fort Bend County Jail   (0131)"/>
    <n v="4760720"/>
    <s v="P00230508"/>
    <d v="1987-02-22T00:00:00"/>
    <m/>
    <s v="JOHN, TIFFANY"/>
    <s v="OAKBEND MEDICAL GROUP"/>
    <n v="760540476"/>
    <n v="29695997"/>
    <d v="2023-10-14T00:00:00"/>
    <d v="2023-10-14T00:00:00"/>
    <n v="1"/>
    <d v="2023-10-31T00:00:00"/>
    <x v="3"/>
    <n v="8"/>
    <d v="2023-08-01T00:00:00"/>
    <d v="2023-12-31T00:00:00"/>
    <n v="93010"/>
    <s v="ELECTROCARDIOGRAM REPORT"/>
    <x v="0"/>
    <s v="Emergency Medicine"/>
    <n v="15"/>
    <n v="0"/>
    <n v="8.58"/>
    <n v="6.42"/>
    <n v="0.57199999999999995"/>
    <s v="Paid"/>
    <n v="223349037"/>
    <s v="HCS120231030278040"/>
    <s v="HCS"/>
    <s v="R00.1"/>
    <s v="Bradycardia, unspecified"/>
    <n v="0"/>
    <m/>
    <s v="H"/>
    <n v="21"/>
    <m/>
  </r>
  <r>
    <s v="Jails"/>
    <s v="Fort Bend County Jail, TX"/>
    <s v="Fort Bend County Jail   (0131)"/>
    <n v="4760720"/>
    <s v="P00230508"/>
    <d v="1987-02-22T00:00:00"/>
    <m/>
    <s v="JOHN, TIFFANY"/>
    <s v="OAKBEND MEDICAL GROUP"/>
    <n v="760540476"/>
    <n v="29695997"/>
    <d v="2023-10-15T00:00:00"/>
    <d v="2023-10-15T00:00:00"/>
    <n v="1"/>
    <d v="2023-10-31T00:00:00"/>
    <x v="3"/>
    <n v="8"/>
    <d v="2023-08-01T00:00:00"/>
    <d v="2023-12-31T00:00:00"/>
    <n v="93306"/>
    <s v="TTE W/DOPPLER COMPLETE"/>
    <x v="0"/>
    <s v="Emergency Medicine"/>
    <n v="166"/>
    <n v="0"/>
    <n v="111.74"/>
    <n v="54.26"/>
    <n v="0.67310000000000003"/>
    <s v="Paid"/>
    <n v="223349037"/>
    <s v="HCS120231030278040"/>
    <s v="HCS"/>
    <s v="R00.1"/>
    <s v="Bradycardia, unspecified"/>
    <n v="0"/>
    <m/>
    <s v="H"/>
    <n v="21"/>
    <m/>
  </r>
  <r>
    <s v="Jails"/>
    <s v="Fort Bend County Jail, TX"/>
    <s v="Fort Bend County Jail   (0131)"/>
    <n v="4760720"/>
    <s v="P00230508"/>
    <d v="1987-02-22T00:00:00"/>
    <m/>
    <s v="JOHN, TIFFANY"/>
    <s v="OAKBEND MEDICAL GROUP"/>
    <n v="760540476"/>
    <n v="29695997"/>
    <d v="2023-10-16T00:00:00"/>
    <d v="2023-10-16T00:00:00"/>
    <n v="1"/>
    <d v="2023-11-01T00:00:00"/>
    <x v="0"/>
    <n v="14"/>
    <d v="2023-08-01T00:00:00"/>
    <d v="2023-12-31T00:00:00"/>
    <n v="99233"/>
    <s v="SUBSEQUENT HOSPITAL CARE"/>
    <x v="0"/>
    <s v="Emergency Medicine"/>
    <n v="171"/>
    <n v="0"/>
    <n v="109.83"/>
    <n v="61.17"/>
    <n v="0.64219999999999999"/>
    <s v="Paid"/>
    <n v="223351148"/>
    <s v="HCS120231031256047"/>
    <s v="HCS"/>
    <s v="R57.0"/>
    <s v="Cardiogenic shock"/>
    <n v="0"/>
    <m/>
    <s v="H"/>
    <n v="21"/>
    <m/>
  </r>
  <r>
    <s v="Jails"/>
    <s v="Fort Bend County Jail, TX"/>
    <s v="Fort Bend County Jail   (0131)"/>
    <n v="4760720"/>
    <s v="P00230508"/>
    <d v="1987-02-22T00:00:00"/>
    <m/>
    <s v="JOHN, TIFFANY"/>
    <s v="OAKBEND MEDICAL GROUP"/>
    <n v="760540476"/>
    <n v="29695997"/>
    <d v="2023-10-16T00:00:00"/>
    <d v="2023-10-16T00:00:00"/>
    <n v="1"/>
    <d v="2023-11-01T00:00:00"/>
    <x v="0"/>
    <n v="14"/>
    <d v="2023-08-01T00:00:00"/>
    <d v="2023-12-31T00:00:00"/>
    <n v="99239"/>
    <s v="HOSPITAL DISCHARGE DAY"/>
    <x v="0"/>
    <s v="Emergency Medicine"/>
    <n v="176"/>
    <n v="0"/>
    <n v="103.85"/>
    <n v="72.150000000000006"/>
    <n v="0.59"/>
    <s v="Paid"/>
    <n v="223351150"/>
    <s v="HCS120231031256048"/>
    <s v="HCS"/>
    <s v="I95.9"/>
    <s v="Hypotension, unspecified"/>
    <n v="0"/>
    <m/>
    <s v="H"/>
    <n v="21"/>
    <m/>
  </r>
  <r>
    <s v="Jails"/>
    <s v="Fort Bend County Jail, TX"/>
    <s v="Fort Bend County Jail   (0131)"/>
    <n v="7229588"/>
    <s v="P00252127"/>
    <d v="1966-11-03T00:00:00"/>
    <m/>
    <s v="SUN, XIA"/>
    <s v="OAKBEND MEDICAL GROUP"/>
    <n v="760540476"/>
    <n v="29914829"/>
    <d v="2023-10-27T00:00:00"/>
    <d v="2023-10-27T00:00:00"/>
    <n v="1"/>
    <d v="2023-11-15T00:00:00"/>
    <x v="8"/>
    <n v="7"/>
    <d v="2023-08-01T00:00:00"/>
    <d v="2023-12-31T00:00:00"/>
    <n v="93010"/>
    <s v="ELECTROCARDIOGRAM REPORT"/>
    <x v="0"/>
    <s v="Emergency Medicine"/>
    <n v="15"/>
    <n v="0"/>
    <n v="8.58"/>
    <n v="6.42"/>
    <n v="0.57199999999999995"/>
    <s v="Paid"/>
    <n v="223373122"/>
    <s v="HCS120231114254031"/>
    <s v="HCS"/>
    <s v="R07.9"/>
    <s v="Chest pain, unspecified"/>
    <n v="0"/>
    <m/>
    <s v="H"/>
    <n v="23"/>
    <m/>
  </r>
  <r>
    <s v="Jails"/>
    <s v="Fort Bend County Jail, TX"/>
    <s v="Fort Bend County Jail   (0131)"/>
    <n v="6190845"/>
    <s v="P00242170"/>
    <d v="1958-03-20T00:00:00"/>
    <m/>
    <s v="TURNER, EARL"/>
    <s v="OAKBEND MEDICAL GROUP"/>
    <n v="760540476"/>
    <n v="29241234"/>
    <d v="2023-08-31T00:00:00"/>
    <d v="2023-08-31T00:00:00"/>
    <n v="1"/>
    <d v="2023-09-19T00:00:00"/>
    <x v="4"/>
    <n v="15"/>
    <d v="2023-08-01T00:00:00"/>
    <d v="2023-12-31T00:00:00"/>
    <n v="93010"/>
    <s v="ELECTROCARDIOGRAM REPORT"/>
    <x v="0"/>
    <s v="Emergency Medicine"/>
    <n v="15"/>
    <n v="0"/>
    <n v="8.58"/>
    <n v="6.42"/>
    <n v="0.57199999999999995"/>
    <s v="Paid"/>
    <n v="223291076"/>
    <s v="HCS120230918264029"/>
    <s v="HCS"/>
    <s v="R53.1"/>
    <s v="Weakness"/>
    <n v="0"/>
    <m/>
    <s v="H"/>
    <n v="22"/>
    <m/>
  </r>
  <r>
    <s v="Jails"/>
    <s v="Fort Bend County Jail, TX"/>
    <s v="Fort Bend County Jail   (0131)"/>
    <n v="6190845"/>
    <s v="P00242170"/>
    <d v="1958-03-20T00:00:00"/>
    <m/>
    <s v="TURNER, EARL"/>
    <s v="OAKBEND MEDICAL GROUP"/>
    <n v="760540476"/>
    <n v="29241234"/>
    <d v="2023-09-01T00:00:00"/>
    <d v="2023-09-01T00:00:00"/>
    <n v="1"/>
    <d v="2023-09-19T00:00:00"/>
    <x v="4"/>
    <n v="15"/>
    <d v="2023-08-01T00:00:00"/>
    <d v="2023-12-31T00:00:00"/>
    <n v="93306"/>
    <s v="TTE W/DOPPLER COMPLETE"/>
    <x v="0"/>
    <s v="Emergency Medicine"/>
    <n v="166"/>
    <n v="0"/>
    <n v="111.74"/>
    <n v="54.26"/>
    <n v="0.67310000000000003"/>
    <s v="Paid"/>
    <n v="223291076"/>
    <s v="HCS120230918264029"/>
    <s v="HCS"/>
    <s v="R53.1"/>
    <s v="Weakness"/>
    <n v="0"/>
    <m/>
    <s v="H"/>
    <n v="22"/>
    <m/>
  </r>
  <r>
    <s v="Jails"/>
    <s v="Fort Bend County Jail, TX"/>
    <s v="Fort Bend County Jail   (0131)"/>
    <n v="7296426"/>
    <s v="P00252863"/>
    <d v="1982-09-02T00:00:00"/>
    <m/>
    <s v="VENEGAS ROSALES, VICENTE"/>
    <s v="OAKBEND MEDICAL GROUP"/>
    <n v="760540476"/>
    <n v="29951930"/>
    <d v="2023-11-02T00:00:00"/>
    <d v="2023-11-02T00:00:00"/>
    <n v="1"/>
    <d v="2023-11-16T00:00:00"/>
    <x v="6"/>
    <n v="13"/>
    <d v="2023-08-01T00:00:00"/>
    <d v="2023-12-31T00:00:00"/>
    <n v="99223"/>
    <s v="INITIAL HOSPITAL CARE"/>
    <x v="0"/>
    <s v="Emergency Medicine"/>
    <n v="303"/>
    <n v="0"/>
    <n v="182.86"/>
    <n v="120.14"/>
    <n v="0.60340000000000005"/>
    <s v="Paid"/>
    <n v="223375431"/>
    <s v="HCS120231114254029"/>
    <s v="HCS"/>
    <s v="R10.9"/>
    <s v="Unspecified abdominal pain"/>
    <n v="0"/>
    <m/>
    <s v="H"/>
    <n v="21"/>
    <m/>
  </r>
  <r>
    <s v="Jails"/>
    <s v="Fort Bend County Jail, TX"/>
    <s v="Fort Bend County Jail   (0131)"/>
    <n v="7296426"/>
    <s v="P00252863"/>
    <d v="1982-09-02T00:00:00"/>
    <m/>
    <s v="VENEGAS ROSALES, VICENTE"/>
    <s v="OAKBEND MEDICAL GROUP"/>
    <n v="760540476"/>
    <n v="29951930"/>
    <d v="2023-11-02T00:00:00"/>
    <d v="2023-11-02T00:00:00"/>
    <n v="1"/>
    <d v="2023-11-16T00:00:00"/>
    <x v="6"/>
    <n v="13"/>
    <d v="2023-08-01T00:00:00"/>
    <d v="2023-12-31T00:00:00"/>
    <n v="99223"/>
    <s v="INITIAL HOSPITAL CARE"/>
    <x v="0"/>
    <s v="Emergency Medicine"/>
    <n v="303"/>
    <n v="303"/>
    <n v="0"/>
    <n v="0"/>
    <n v="0"/>
    <s v="Paid"/>
    <n v="223375434"/>
    <s v="HCS120231114254030"/>
    <s v="HCS"/>
    <s v="R10.9"/>
    <s v="Unspecified abdominal pain"/>
    <n v="0"/>
    <m/>
    <s v="H"/>
    <n v="21"/>
    <m/>
  </r>
  <r>
    <s v="Jails"/>
    <s v="Fort Bend County Jail, TX"/>
    <s v="Fort Bend County Jail   (0131)"/>
    <n v="7296426"/>
    <s v="P00252863"/>
    <d v="1982-09-02T00:00:00"/>
    <m/>
    <s v="VENEGAS ROSALES, VICENTE"/>
    <s v="OAKBEND MEDICAL GROUP"/>
    <n v="760540476"/>
    <n v="29951930"/>
    <d v="2023-11-03T00:00:00"/>
    <d v="2023-11-03T00:00:00"/>
    <n v="1"/>
    <d v="2023-11-16T00:00:00"/>
    <x v="6"/>
    <n v="13"/>
    <d v="2023-08-01T00:00:00"/>
    <d v="2023-12-31T00:00:00"/>
    <n v="99239"/>
    <s v="HOSPITAL DISCHARGE DAY"/>
    <x v="0"/>
    <s v="Emergency Medicine"/>
    <n v="176"/>
    <n v="0"/>
    <n v="103.85"/>
    <n v="72.150000000000006"/>
    <n v="0.59"/>
    <s v="Paid"/>
    <n v="223375434"/>
    <s v="HCS120231114254030"/>
    <s v="HCS"/>
    <s v="R10.9"/>
    <s v="Unspecified abdominal pain"/>
    <n v="0"/>
    <m/>
    <s v="H"/>
    <n v="21"/>
    <m/>
  </r>
  <r>
    <s v="Jails"/>
    <s v="Fort Bend County Jail, TX"/>
    <s v="Fort Bend County Jail   (0131)"/>
    <n v="7296426"/>
    <s v="P00252863"/>
    <d v="1982-09-02T00:00:00"/>
    <m/>
    <s v="VENEGAS ROSALES, VICENTE"/>
    <s v="OAKBEND MEDICAL GROUP"/>
    <n v="760540476"/>
    <n v="29951930"/>
    <d v="2023-11-01T00:00:00"/>
    <d v="2023-11-01T00:00:00"/>
    <n v="1"/>
    <d v="2023-11-30T00:00:00"/>
    <x v="1"/>
    <n v="13"/>
    <d v="2023-08-01T00:00:00"/>
    <d v="2023-12-31T00:00:00"/>
    <n v="93010"/>
    <s v="ELECTROCARDIOGRAM REPORT"/>
    <x v="0"/>
    <s v="Emergency Medicine"/>
    <n v="15"/>
    <n v="0"/>
    <n v="8.58"/>
    <n v="6.42"/>
    <n v="0.57199999999999995"/>
    <s v="Paid"/>
    <n v="223396493"/>
    <s v="HCS120231128259027"/>
    <s v="HCS"/>
    <s v="R07.9"/>
    <s v="Chest pain, unspecified"/>
    <n v="0"/>
    <m/>
    <s v="H"/>
    <n v="21"/>
    <m/>
  </r>
  <r>
    <s v="Jails"/>
    <s v="Fort Bend County Jail, TX"/>
    <s v="Fort Bend County Jail   (0131)"/>
    <n v="6599825"/>
    <s v="P00245964"/>
    <d v="1976-01-26T00:00:00"/>
    <m/>
    <s v="WILSON, LEELAND"/>
    <s v="OAKBEND MEDICAL GROUP"/>
    <n v="760540476"/>
    <n v="29198314"/>
    <d v="2023-08-30T00:00:00"/>
    <d v="2023-08-30T00:00:00"/>
    <n v="1"/>
    <d v="2023-09-13T00:00:00"/>
    <x v="4"/>
    <n v="21"/>
    <d v="2023-08-01T00:00:00"/>
    <d v="2023-12-31T00:00:00"/>
    <n v="99239"/>
    <s v="HOSPITAL DISCHARGE DAY"/>
    <x v="0"/>
    <s v="Emergency Medicine"/>
    <n v="176"/>
    <n v="0"/>
    <n v="103.85"/>
    <n v="72.150000000000006"/>
    <n v="0.59"/>
    <s v="Paid"/>
    <n v="223282651"/>
    <s v="HCS120230911255011"/>
    <s v="HCS"/>
    <s v="G40.501"/>
    <s v="Epileptic seizures related to external causes, not intractable, with status epilepticus"/>
    <n v="0"/>
    <m/>
    <s v="H"/>
    <n v="21"/>
    <m/>
  </r>
  <r>
    <s v="Jails"/>
    <s v="Fort Bend County Jail, TX"/>
    <s v="Fort Bend County Jail   (0131)"/>
    <n v="6599825"/>
    <s v="P00245964"/>
    <d v="1976-01-26T00:00:00"/>
    <m/>
    <s v="WILSON, LEELAND"/>
    <s v="OAKBEND MEDICAL GROUP"/>
    <n v="760540476"/>
    <n v="29198314"/>
    <d v="2023-08-26T00:00:00"/>
    <d v="2023-08-26T00:00:00"/>
    <n v="1"/>
    <d v="2023-09-13T00:00:00"/>
    <x v="4"/>
    <n v="21"/>
    <d v="2023-08-01T00:00:00"/>
    <d v="2023-12-31T00:00:00"/>
    <n v="99223"/>
    <s v="INITIAL HOSPITAL CARE"/>
    <x v="0"/>
    <s v="Emergency Medicine"/>
    <n v="303"/>
    <n v="0"/>
    <n v="182.86"/>
    <n v="120.14"/>
    <n v="0.60340000000000005"/>
    <s v="Paid"/>
    <n v="223282680"/>
    <s v="HCS120230911255012"/>
    <s v="HCS"/>
    <s v="I10"/>
    <s v="Essential (primary) hypertension"/>
    <n v="0"/>
    <m/>
    <s v="H"/>
    <n v="21"/>
    <m/>
  </r>
  <r>
    <s v="Jails"/>
    <s v="Fort Bend County Jail, TX"/>
    <s v="Fort Bend County Jail   (0131)"/>
    <n v="6599825"/>
    <s v="P00245964"/>
    <d v="1976-01-26T00:00:00"/>
    <m/>
    <s v="WILSON, LEELAND"/>
    <s v="OAKBEND MEDICAL GROUP"/>
    <n v="760540476"/>
    <n v="29198314"/>
    <d v="2023-08-27T00:00:00"/>
    <d v="2023-08-27T00:00:00"/>
    <n v="1"/>
    <d v="2023-09-13T00:00:00"/>
    <x v="4"/>
    <n v="21"/>
    <d v="2023-08-01T00:00:00"/>
    <d v="2023-12-31T00:00:00"/>
    <n v="99233"/>
    <s v="SUBSEQUENT HOSPITAL CARE"/>
    <x v="0"/>
    <s v="Emergency Medicine"/>
    <n v="171"/>
    <n v="0"/>
    <n v="109.83"/>
    <n v="61.17"/>
    <n v="0.64219999999999999"/>
    <s v="Paid"/>
    <n v="223282680"/>
    <s v="HCS120230911255012"/>
    <s v="HCS"/>
    <s v="I10"/>
    <s v="Essential (primary) hypertension"/>
    <n v="0"/>
    <m/>
    <s v="H"/>
    <n v="21"/>
    <m/>
  </r>
  <r>
    <s v="Jails"/>
    <s v="Fort Bend County Jail, TX"/>
    <s v="Fort Bend County Jail   (0131)"/>
    <n v="6599825"/>
    <s v="P00245964"/>
    <d v="1976-01-26T00:00:00"/>
    <m/>
    <s v="WILSON, LEELAND"/>
    <s v="OAKBEND MEDICAL GROUP"/>
    <n v="760540476"/>
    <n v="29198314"/>
    <d v="2023-08-28T00:00:00"/>
    <d v="2023-08-28T00:00:00"/>
    <n v="1"/>
    <d v="2023-09-13T00:00:00"/>
    <x v="4"/>
    <n v="21"/>
    <d v="2023-08-01T00:00:00"/>
    <d v="2023-12-31T00:00:00"/>
    <n v="99233"/>
    <s v="SUBSEQUENT HOSPITAL CARE"/>
    <x v="0"/>
    <s v="Emergency Medicine"/>
    <n v="171"/>
    <n v="0"/>
    <n v="109.83"/>
    <n v="61.17"/>
    <n v="0.64219999999999999"/>
    <s v="Paid"/>
    <n v="223282680"/>
    <s v="HCS120230911255012"/>
    <s v="HCS"/>
    <s v="I10"/>
    <s v="Essential (primary) hypertension"/>
    <n v="0"/>
    <m/>
    <s v="H"/>
    <n v="21"/>
    <m/>
  </r>
  <r>
    <s v="Jails"/>
    <s v="Fort Bend County Jail, TX"/>
    <s v="Fort Bend County Jail   (0131)"/>
    <n v="6599825"/>
    <s v="P00245964"/>
    <d v="1976-01-26T00:00:00"/>
    <m/>
    <s v="WILSON, LEELAND"/>
    <s v="OAKBEND MEDICAL GROUP"/>
    <n v="760540476"/>
    <n v="29198314"/>
    <d v="2023-08-29T00:00:00"/>
    <d v="2023-08-29T00:00:00"/>
    <n v="1"/>
    <d v="2023-09-13T00:00:00"/>
    <x v="4"/>
    <n v="21"/>
    <d v="2023-08-01T00:00:00"/>
    <d v="2023-12-31T00:00:00"/>
    <n v="99233"/>
    <s v="SUBSEQUENT HOSPITAL CARE"/>
    <x v="0"/>
    <s v="Emergency Medicine"/>
    <n v="171"/>
    <n v="0"/>
    <n v="109.83"/>
    <n v="61.17"/>
    <n v="0.64219999999999999"/>
    <s v="Paid"/>
    <n v="223282680"/>
    <s v="HCS120230911255012"/>
    <s v="HCS"/>
    <s v="I10"/>
    <s v="Essential (primary) hypertension"/>
    <n v="0"/>
    <m/>
    <s v="H"/>
    <n v="21"/>
    <m/>
  </r>
  <r>
    <s v="Jails"/>
    <s v="Fort Bend County Jail, TX"/>
    <s v="Fort Bend County Jail   (0131)"/>
    <n v="6599825"/>
    <s v="P00245964"/>
    <d v="1976-01-26T00:00:00"/>
    <m/>
    <s v="WILSON, LEELAND"/>
    <s v="OAKBEND MEDICAL GROUP"/>
    <n v="760540476"/>
    <n v="29174222"/>
    <d v="2023-08-24T00:00:00"/>
    <d v="2023-08-24T00:00:00"/>
    <n v="1"/>
    <d v="2023-10-03T00:00:00"/>
    <x v="5"/>
    <n v="22"/>
    <d v="2023-08-01T00:00:00"/>
    <d v="2023-12-31T00:00:00"/>
    <n v="93010"/>
    <s v="ELECTROCARDIOGRAM REPORT"/>
    <x v="0"/>
    <s v="Emergency Medicine"/>
    <n v="15"/>
    <n v="0"/>
    <n v="8.58"/>
    <n v="6.42"/>
    <n v="0.57199999999999995"/>
    <s v="Paid"/>
    <n v="223305549"/>
    <s v="HCS120231002286030"/>
    <s v="HCS"/>
    <s v="R56.9"/>
    <s v="Unspecified convulsions"/>
    <n v="0"/>
    <m/>
    <s v="H"/>
    <n v="23"/>
    <m/>
  </r>
  <r>
    <s v="Jails"/>
    <s v="Fort Bend County Jail, TX"/>
    <s v="Fort Bend County Jail   (0131)"/>
    <n v="6599825"/>
    <s v="P00245964"/>
    <d v="1976-01-26T00:00:00"/>
    <m/>
    <s v="WILSON, LEELAND"/>
    <s v="OAKBEND MEDICAL GROUP"/>
    <n v="760540476"/>
    <n v="29198314"/>
    <d v="2023-08-29T00:00:00"/>
    <d v="2023-08-29T00:00:00"/>
    <n v="1"/>
    <d v="2023-11-08T00:00:00"/>
    <x v="8"/>
    <n v="14"/>
    <d v="2023-08-01T00:00:00"/>
    <d v="2023-12-31T00:00:00"/>
    <n v="99233"/>
    <s v="SUBSEQUENT HOSPITAL CARE"/>
    <x v="0"/>
    <s v="Emergency Medicine"/>
    <n v="171"/>
    <n v="0"/>
    <n v="109.83"/>
    <n v="61.17"/>
    <n v="0.64219999999999999"/>
    <s v="Paid"/>
    <n v="223363040"/>
    <s v="HCS120231107270034"/>
    <s v="HCS"/>
    <s v="I10"/>
    <s v="Essential (primary) hypertension"/>
    <n v="0"/>
    <m/>
    <s v="H"/>
    <n v="21"/>
    <m/>
  </r>
  <r>
    <s v="Jails"/>
    <s v="Fort Bend County Jail, TX"/>
    <s v="Fort Bend County Jail   (0131)"/>
    <n v="6599825"/>
    <s v="P00245964"/>
    <d v="1976-01-26T00:00:00"/>
    <m/>
    <s v="WILSON, LEELAND"/>
    <s v="OAKBEND MEDICAL GROUP"/>
    <n v="760540476"/>
    <n v="29198314"/>
    <d v="2023-08-30T00:00:00"/>
    <d v="2023-08-30T00:00:00"/>
    <n v="1"/>
    <d v="2023-11-08T00:00:00"/>
    <x v="8"/>
    <n v="14"/>
    <d v="2023-08-01T00:00:00"/>
    <d v="2023-12-31T00:00:00"/>
    <n v="99239"/>
    <s v="HOSPITAL DISCHARGE DAY"/>
    <x v="0"/>
    <s v="Emergency Medicine"/>
    <n v="176"/>
    <n v="176"/>
    <n v="0"/>
    <n v="0"/>
    <n v="0"/>
    <s v="Paid"/>
    <n v="223363040"/>
    <s v="HCS120231107270034"/>
    <s v="HCS"/>
    <s v="I10"/>
    <s v="Essential (primary) hypertension"/>
    <n v="0"/>
    <m/>
    <s v="H"/>
    <n v="21"/>
    <m/>
  </r>
  <r>
    <s v="Jails"/>
    <s v="Fort Bend County Jail, TX"/>
    <s v="Fort Bend County Jail   (0131)"/>
    <n v="6599825"/>
    <s v="P00245964"/>
    <d v="1976-01-26T00:00:00"/>
    <m/>
    <s v="WILSON, LEELAND"/>
    <s v="OAKBEND MEDICAL GROUP"/>
    <n v="760540476"/>
    <n v="29174222"/>
    <d v="2023-08-24T00:00:00"/>
    <d v="2023-08-24T00:00:00"/>
    <n v="1"/>
    <d v="2023-11-08T00:00:00"/>
    <x v="8"/>
    <n v="14"/>
    <d v="2023-08-01T00:00:00"/>
    <d v="2023-12-31T00:00:00"/>
    <n v="93010"/>
    <s v="ELECTROCARDIOGRAM REPORT"/>
    <x v="0"/>
    <s v="Emergency Medicine"/>
    <n v="15"/>
    <n v="0"/>
    <n v="8.58"/>
    <n v="6.42"/>
    <n v="0.57199999999999995"/>
    <s v="Paid"/>
    <n v="223363043"/>
    <s v="HCS120231107267024"/>
    <s v="HCS"/>
    <s v="R56.9"/>
    <s v="Unspecified convulsions"/>
    <n v="0"/>
    <m/>
    <s v="H"/>
    <n v="23"/>
    <m/>
  </r>
  <r>
    <s v="Jails"/>
    <s v="Fort Bend County Jail, TX"/>
    <s v="Fort Bend County Jail   (0131)"/>
    <n v="6599825"/>
    <s v="P00245964"/>
    <d v="1976-01-26T00:00:00"/>
    <m/>
    <s v="WILSON, LEELAND"/>
    <s v="OAKBEND MEDICAL GROUP"/>
    <n v="760540476"/>
    <n v="29198314"/>
    <d v="2023-08-26T00:00:00"/>
    <d v="2023-08-26T00:00:00"/>
    <n v="1"/>
    <d v="2023-11-08T00:00:00"/>
    <x v="8"/>
    <n v="14"/>
    <d v="2023-08-01T00:00:00"/>
    <d v="2023-12-31T00:00:00"/>
    <n v="99223"/>
    <s v="INITIAL HOSPITAL CARE"/>
    <x v="0"/>
    <s v="Emergency Medicine"/>
    <n v="303"/>
    <n v="303"/>
    <n v="0"/>
    <n v="0"/>
    <n v="0"/>
    <s v="Paid"/>
    <n v="223363046"/>
    <s v="HCS120231107267025"/>
    <s v="HCS"/>
    <s v="I10"/>
    <s v="Essential (primary) hypertension"/>
    <n v="0"/>
    <m/>
    <s v="H"/>
    <n v="21"/>
    <m/>
  </r>
  <r>
    <s v="Jails"/>
    <s v="Fort Bend County Jail, TX"/>
    <s v="Fort Bend County Jail   (0131)"/>
    <n v="6599825"/>
    <s v="P00245964"/>
    <d v="1976-01-26T00:00:00"/>
    <m/>
    <s v="WILSON, LEELAND"/>
    <s v="OAKBEND MEDICAL GROUP"/>
    <n v="760540476"/>
    <n v="29198314"/>
    <d v="2023-08-27T00:00:00"/>
    <d v="2023-08-27T00:00:00"/>
    <n v="1"/>
    <d v="2023-11-08T00:00:00"/>
    <x v="8"/>
    <n v="14"/>
    <d v="2023-08-01T00:00:00"/>
    <d v="2023-12-31T00:00:00"/>
    <n v="99233"/>
    <s v="SUBSEQUENT HOSPITAL CARE"/>
    <x v="0"/>
    <s v="Emergency Medicine"/>
    <n v="171"/>
    <n v="171"/>
    <n v="0"/>
    <n v="0"/>
    <n v="0"/>
    <s v="Paid"/>
    <n v="223363046"/>
    <s v="HCS120231107267025"/>
    <s v="HCS"/>
    <s v="I10"/>
    <s v="Essential (primary) hypertension"/>
    <n v="0"/>
    <m/>
    <s v="H"/>
    <n v="21"/>
    <m/>
  </r>
  <r>
    <s v="Jails"/>
    <s v="Fort Bend County Jail, TX"/>
    <s v="Fort Bend County Jail   (0131)"/>
    <n v="6599825"/>
    <s v="P00245964"/>
    <d v="1976-01-26T00:00:00"/>
    <m/>
    <s v="WILSON, LEELAND"/>
    <s v="OAKBEND MEDICAL GROUP"/>
    <n v="760540476"/>
    <n v="29198314"/>
    <d v="2023-08-28T00:00:00"/>
    <d v="2023-08-28T00:00:00"/>
    <n v="1"/>
    <d v="2023-11-08T00:00:00"/>
    <x v="8"/>
    <n v="14"/>
    <d v="2023-08-01T00:00:00"/>
    <d v="2023-12-31T00:00:00"/>
    <n v="99233"/>
    <s v="SUBSEQUENT HOSPITAL CARE"/>
    <x v="0"/>
    <s v="Emergency Medicine"/>
    <n v="171"/>
    <n v="171"/>
    <n v="0"/>
    <n v="0"/>
    <n v="0"/>
    <s v="Paid"/>
    <n v="223363046"/>
    <s v="HCS120231107267025"/>
    <s v="HCS"/>
    <s v="I10"/>
    <s v="Essential (primary) hypertension"/>
    <n v="0"/>
    <m/>
    <s v="H"/>
    <n v="21"/>
    <m/>
  </r>
  <r>
    <s v="Jails"/>
    <s v="Fort Bend County Jail, TX"/>
    <s v="Fort Bend County Jail   (0131)"/>
    <n v="7169299"/>
    <s v="P00164424"/>
    <d v="1993-09-05T00:00:00"/>
    <m/>
    <s v="DUBEC, MATTHEW"/>
    <s v="ORAL AND FACIAL SURGERY INSTITUTE OF HOU"/>
    <n v="471372476"/>
    <n v="29165106"/>
    <d v="2023-09-06T00:00:00"/>
    <d v="2023-09-06T00:00:00"/>
    <n v="1"/>
    <d v="2023-09-22T00:00:00"/>
    <x v="9"/>
    <n v="18"/>
    <d v="2023-08-01T00:00:00"/>
    <d v="2023-12-31T00:00:00"/>
    <s v="D0150"/>
    <s v="COMPREHENSIVE ORAL EVALUATION"/>
    <x v="5"/>
    <s v="Oral and Maxillofacial Surgery"/>
    <n v="113"/>
    <n v="0"/>
    <n v="0"/>
    <n v="113"/>
    <n v="0"/>
    <s v="Paid"/>
    <n v="223294835"/>
    <s v="HCS120230919275003"/>
    <s v="HCS"/>
    <m/>
    <m/>
    <n v="0"/>
    <m/>
    <s v="H"/>
    <n v="11"/>
    <m/>
  </r>
  <r>
    <s v="Jails"/>
    <s v="Fort Bend County Jail, TX"/>
    <s v="Fort Bend County Jail   (0131)"/>
    <n v="7169299"/>
    <s v="P00164424"/>
    <d v="1993-09-05T00:00:00"/>
    <m/>
    <s v="DUBEC, MATTHEW"/>
    <s v="ORAL AND FACIAL SURGERY INSTITUTE OF HOU"/>
    <n v="471372476"/>
    <n v="29165106"/>
    <d v="2023-09-06T00:00:00"/>
    <d v="2023-09-06T00:00:00"/>
    <n v="1"/>
    <d v="2023-09-22T00:00:00"/>
    <x v="9"/>
    <n v="18"/>
    <d v="2023-08-01T00:00:00"/>
    <d v="2023-12-31T00:00:00"/>
    <s v="D9219"/>
    <m/>
    <x v="5"/>
    <s v="Oral and Maxillofacial Surgery"/>
    <n v="75"/>
    <n v="0"/>
    <n v="0"/>
    <n v="75"/>
    <n v="0"/>
    <s v="Paid"/>
    <n v="223294835"/>
    <s v="HCS120230919275003"/>
    <s v="HCS"/>
    <m/>
    <m/>
    <n v="0"/>
    <m/>
    <s v="H"/>
    <n v="11"/>
    <m/>
  </r>
  <r>
    <s v="Jails"/>
    <s v="Fort Bend County Jail, TX"/>
    <s v="Fort Bend County Jail   (0131)"/>
    <n v="7169299"/>
    <s v="P00164424"/>
    <d v="1993-09-05T00:00:00"/>
    <m/>
    <s v="DUBEC, MATTHEW"/>
    <s v="ORAL AND FACIAL SURGERY INSTITUTE OF HOU"/>
    <n v="471372476"/>
    <n v="29165106"/>
    <d v="2023-09-06T00:00:00"/>
    <d v="2023-09-06T00:00:00"/>
    <n v="1"/>
    <d v="2023-09-22T00:00:00"/>
    <x v="9"/>
    <n v="18"/>
    <d v="2023-08-01T00:00:00"/>
    <d v="2023-12-31T00:00:00"/>
    <s v="D7210"/>
    <s v="REMOV ERPTD TTH W/FLP BON/TTH REMOV"/>
    <x v="5"/>
    <s v="Oral and Maxillofacial Surgery"/>
    <n v="337"/>
    <n v="337"/>
    <n v="0"/>
    <n v="0"/>
    <n v="0"/>
    <s v="Paid"/>
    <n v="223294835"/>
    <s v="HCS120230919275003"/>
    <s v="HCS"/>
    <m/>
    <m/>
    <n v="0"/>
    <m/>
    <s v="H"/>
    <n v="11"/>
    <m/>
  </r>
  <r>
    <s v="Jails"/>
    <s v="Fort Bend County Jail, TX"/>
    <s v="Fort Bend County Jail   (0131)"/>
    <n v="7169299"/>
    <s v="P00164424"/>
    <d v="1993-09-05T00:00:00"/>
    <m/>
    <s v="DUBEC, MATTHEW"/>
    <s v="ORAL AND FACIAL SURGERY INSTITUTE OF HOU"/>
    <n v="471372476"/>
    <n v="29165106"/>
    <d v="2023-09-06T00:00:00"/>
    <d v="2023-09-06T00:00:00"/>
    <n v="1"/>
    <d v="2023-09-22T00:00:00"/>
    <x v="9"/>
    <n v="18"/>
    <d v="2023-08-01T00:00:00"/>
    <d v="2023-12-31T00:00:00"/>
    <s v="D9223"/>
    <s v="DEEP SEDATION/GENERAL ANESTHESIA EACH 15"/>
    <x v="5"/>
    <s v="Oral and Maxillofacial Surgery"/>
    <n v="346"/>
    <n v="346"/>
    <n v="0"/>
    <n v="0"/>
    <n v="0"/>
    <s v="Paid"/>
    <n v="223294835"/>
    <s v="HCS120230919275003"/>
    <s v="HCS"/>
    <m/>
    <m/>
    <n v="0"/>
    <m/>
    <s v="H"/>
    <n v="11"/>
    <m/>
  </r>
  <r>
    <s v="Jails"/>
    <s v="Fort Bend County Jail, TX"/>
    <s v="Fort Bend County Jail   (0131)"/>
    <n v="7169299"/>
    <s v="P00164424"/>
    <d v="1993-09-05T00:00:00"/>
    <m/>
    <s v="DUBEC, MATTHEW"/>
    <s v="ORAL AND FACIAL SURGERY INSTITUTE OF HOU"/>
    <n v="471372476"/>
    <n v="29165106"/>
    <d v="2023-09-06T00:00:00"/>
    <d v="2023-09-06T00:00:00"/>
    <n v="1"/>
    <d v="2023-09-22T00:00:00"/>
    <x v="9"/>
    <n v="18"/>
    <d v="2023-08-01T00:00:00"/>
    <d v="2023-12-31T00:00:00"/>
    <s v="D9223"/>
    <s v="DEEP SEDATION/GENERAL ANESTHESIA EACH 15"/>
    <x v="5"/>
    <s v="Oral and Maxillofacial Surgery"/>
    <n v="346"/>
    <n v="346"/>
    <n v="0"/>
    <n v="0"/>
    <n v="0"/>
    <s v="Paid"/>
    <n v="223294835"/>
    <s v="HCS120230919275003"/>
    <s v="HCS"/>
    <m/>
    <m/>
    <n v="0"/>
    <m/>
    <s v="H"/>
    <n v="11"/>
    <m/>
  </r>
  <r>
    <s v="Jails"/>
    <s v="Fort Bend County Jail, TX"/>
    <s v="Fort Bend County Jail   (0131)"/>
    <n v="7169299"/>
    <s v="P00164424"/>
    <d v="1993-09-05T00:00:00"/>
    <m/>
    <s v="DUBEC, MATTHEW"/>
    <s v="ORAL AND FACIAL SURGERY INSTITUTE OF HOU"/>
    <n v="471372476"/>
    <n v="29165106"/>
    <d v="2023-09-06T00:00:00"/>
    <d v="2023-09-06T00:00:00"/>
    <n v="1"/>
    <d v="2023-09-22T00:00:00"/>
    <x v="9"/>
    <n v="18"/>
    <d v="2023-08-01T00:00:00"/>
    <d v="2023-12-31T00:00:00"/>
    <s v="D7210"/>
    <s v="REMOV ERPTD TTH W/FLP BON/TTH REMOV"/>
    <x v="5"/>
    <s v="Oral and Maxillofacial Surgery"/>
    <n v="337"/>
    <n v="337"/>
    <n v="0"/>
    <n v="0"/>
    <n v="0"/>
    <s v="Paid"/>
    <n v="223294835"/>
    <s v="HCS120230919275003"/>
    <s v="HCS"/>
    <m/>
    <m/>
    <n v="0"/>
    <m/>
    <s v="H"/>
    <n v="11"/>
    <m/>
  </r>
  <r>
    <s v="Jails"/>
    <s v="Fort Bend County Jail, TX"/>
    <s v="Fort Bend County Jail   (0131)"/>
    <n v="7169299"/>
    <s v="P00164424"/>
    <d v="1993-09-05T00:00:00"/>
    <m/>
    <s v="DUBEC, MATTHEW"/>
    <s v="ORAL AND FACIAL SURGERY INSTITUTE OF HOU"/>
    <n v="471372476"/>
    <n v="29165106"/>
    <d v="2023-09-06T00:00:00"/>
    <d v="2023-09-06T00:00:00"/>
    <n v="1"/>
    <d v="2023-09-22T00:00:00"/>
    <x v="9"/>
    <n v="18"/>
    <d v="2023-08-01T00:00:00"/>
    <d v="2023-12-31T00:00:00"/>
    <s v="D9222"/>
    <m/>
    <x v="5"/>
    <s v="Oral and Maxillofacial Surgery"/>
    <n v="452"/>
    <n v="0"/>
    <n v="0"/>
    <n v="452"/>
    <n v="0"/>
    <s v="Paid"/>
    <n v="223294835"/>
    <s v="HCS120230919275003"/>
    <s v="HCS"/>
    <m/>
    <m/>
    <n v="0"/>
    <m/>
    <s v="H"/>
    <n v="11"/>
    <m/>
  </r>
  <r>
    <s v="Jails"/>
    <s v="Fort Bend County Jail, TX"/>
    <s v="Fort Bend County Jail   (0131)"/>
    <n v="7169299"/>
    <s v="P00164424"/>
    <d v="1993-09-05T00:00:00"/>
    <m/>
    <s v="DUBEC, MATTHEW"/>
    <s v="ORAL AND FACIAL SURGERY INSTITUTE OF HOU"/>
    <n v="471372476"/>
    <n v="29165106"/>
    <d v="2023-09-06T00:00:00"/>
    <d v="2023-09-06T00:00:00"/>
    <n v="1"/>
    <d v="2023-09-22T00:00:00"/>
    <x v="9"/>
    <n v="18"/>
    <d v="2023-08-01T00:00:00"/>
    <d v="2023-12-31T00:00:00"/>
    <s v="D0330"/>
    <s v="PANORAMIC FILM"/>
    <x v="5"/>
    <s v="Oral and Maxillofacial Surgery"/>
    <n v="193"/>
    <n v="0"/>
    <n v="0"/>
    <n v="193"/>
    <n v="0"/>
    <s v="Paid"/>
    <n v="223294835"/>
    <s v="HCS120230919275003"/>
    <s v="HCS"/>
    <m/>
    <m/>
    <n v="0"/>
    <m/>
    <s v="H"/>
    <n v="11"/>
    <m/>
  </r>
  <r>
    <s v="Jails"/>
    <s v="Fort Bend County Jail, TX"/>
    <s v="Fort Bend County Jail   (0131)"/>
    <n v="7169299"/>
    <s v="P00164424"/>
    <d v="1993-09-05T00:00:00"/>
    <m/>
    <s v="DUBEC, MATTHEW"/>
    <s v="ORAL AND FACIAL SURGERY INSTITUTE OF HOU"/>
    <n v="471372476"/>
    <n v="29165106"/>
    <d v="2023-09-06T00:00:00"/>
    <d v="2023-09-06T00:00:00"/>
    <n v="1"/>
    <d v="2023-09-22T00:00:00"/>
    <x v="9"/>
    <n v="18"/>
    <d v="2023-08-01T00:00:00"/>
    <d v="2023-12-31T00:00:00"/>
    <s v="D7210"/>
    <s v="REMOV ERPTD TTH W/FLP BON/TTH REMOV"/>
    <x v="5"/>
    <s v="Oral and Maxillofacial Surgery"/>
    <n v="337"/>
    <n v="337"/>
    <n v="0"/>
    <n v="0"/>
    <n v="0"/>
    <s v="Paid"/>
    <n v="223294835"/>
    <s v="HCS120230919275003"/>
    <s v="HCS"/>
    <m/>
    <m/>
    <n v="0"/>
    <m/>
    <s v="H"/>
    <n v="11"/>
    <m/>
  </r>
  <r>
    <s v="Jails"/>
    <s v="Fort Bend County Jail, TX"/>
    <s v="Fort Bend County Jail   (0131)"/>
    <n v="7169299"/>
    <s v="P00164424"/>
    <d v="1993-09-05T00:00:00"/>
    <m/>
    <s v="DUBEC, MATTHEW"/>
    <s v="ORAL AND FACIAL SURGERY INSTITUTE OF HOU"/>
    <n v="471372476"/>
    <n v="29165106"/>
    <d v="2023-09-06T00:00:00"/>
    <d v="2023-09-06T00:00:00"/>
    <n v="1"/>
    <d v="2023-09-22T00:00:00"/>
    <x v="9"/>
    <n v="18"/>
    <d v="2023-08-01T00:00:00"/>
    <d v="2023-12-31T00:00:00"/>
    <s v="D9223"/>
    <s v="DEEP SEDATION/GENERAL ANESTHESIA EACH 15"/>
    <x v="5"/>
    <s v="Oral and Maxillofacial Surgery"/>
    <n v="346"/>
    <n v="0"/>
    <n v="0"/>
    <n v="346"/>
    <n v="0"/>
    <s v="Paid"/>
    <n v="223294835"/>
    <s v="HCS120230919275003"/>
    <s v="HCS"/>
    <m/>
    <m/>
    <n v="0"/>
    <m/>
    <s v="H"/>
    <n v="11"/>
    <m/>
  </r>
  <r>
    <s v="Jails"/>
    <s v="Fort Bend County Jail, TX"/>
    <s v="Fort Bend County Jail   (0131)"/>
    <n v="7169299"/>
    <s v="P00164424"/>
    <d v="1993-09-05T00:00:00"/>
    <m/>
    <s v="DUBEC, MATTHEW"/>
    <s v="ORAL AND FACIAL SURGERY INSTITUTE OF HOU"/>
    <n v="471372476"/>
    <n v="29165106"/>
    <d v="2023-09-06T00:00:00"/>
    <d v="2023-09-06T00:00:00"/>
    <n v="1"/>
    <d v="2023-09-22T00:00:00"/>
    <x v="9"/>
    <n v="18"/>
    <d v="2023-08-01T00:00:00"/>
    <d v="2023-12-31T00:00:00"/>
    <s v="D7210"/>
    <s v="REMOV ERPTD TTH W/FLP BON/TTH REMOV"/>
    <x v="5"/>
    <s v="Oral and Maxillofacial Surgery"/>
    <n v="337"/>
    <n v="0"/>
    <n v="0"/>
    <n v="337"/>
    <n v="0"/>
    <s v="Paid"/>
    <n v="223294835"/>
    <s v="HCS120230919275003"/>
    <s v="HCS"/>
    <m/>
    <m/>
    <n v="0"/>
    <m/>
    <s v="H"/>
    <n v="11"/>
    <m/>
  </r>
  <r>
    <s v="Jails"/>
    <s v="Fort Bend County Jail, TX"/>
    <s v="Fort Bend County Jail   (0131)"/>
    <n v="7169299"/>
    <s v="P00164424"/>
    <d v="1993-09-05T00:00:00"/>
    <m/>
    <s v="DUBEC, MATTHEW"/>
    <s v="ORAL AND FACIAL SURGERY INSTITUTE OF HOU"/>
    <n v="471372476"/>
    <n v="29165106"/>
    <d v="2023-09-06T00:00:00"/>
    <d v="2023-09-06T00:00:00"/>
    <n v="1"/>
    <d v="2023-09-22T00:00:00"/>
    <x v="9"/>
    <n v="18"/>
    <d v="2023-08-01T00:00:00"/>
    <d v="2023-12-31T00:00:00"/>
    <s v="D7210"/>
    <s v="REMOV ERPTD TTH W/FLP BON/TTH REMOV"/>
    <x v="5"/>
    <s v="Oral and Maxillofacial Surgery"/>
    <n v="337"/>
    <n v="0"/>
    <n v="0"/>
    <n v="337"/>
    <n v="0"/>
    <s v="Paid"/>
    <n v="223294835"/>
    <s v="HCS120230919275003"/>
    <s v="HCS"/>
    <m/>
    <m/>
    <n v="0"/>
    <m/>
    <s v="H"/>
    <n v="11"/>
    <m/>
  </r>
  <r>
    <s v="Jails"/>
    <s v="Fort Bend County Jail, TX"/>
    <s v="Fort Bend County Jail   (0131)"/>
    <n v="7169299"/>
    <s v="P00164424"/>
    <d v="1993-09-05T00:00:00"/>
    <m/>
    <s v="DUBEC, MATTHEW"/>
    <s v="ORAL AND FACIAL SURGERY INSTITUTE OF HOU"/>
    <n v="471372476"/>
    <n v="29165106"/>
    <d v="2023-09-06T00:00:00"/>
    <d v="2023-09-06T00:00:00"/>
    <n v="1"/>
    <d v="2023-09-22T00:00:00"/>
    <x v="9"/>
    <n v="18"/>
    <d v="2023-08-01T00:00:00"/>
    <d v="2023-12-31T00:00:00"/>
    <s v="D9223"/>
    <s v="DEEP SEDATION/GENERAL ANESTHESIA EACH 15"/>
    <x v="5"/>
    <s v="Oral and Maxillofacial Surgery"/>
    <n v="346"/>
    <n v="0"/>
    <n v="0"/>
    <n v="346"/>
    <n v="0"/>
    <s v="Paid"/>
    <n v="223294835"/>
    <s v="HCS120230919275003"/>
    <s v="HCS"/>
    <m/>
    <m/>
    <n v="0"/>
    <m/>
    <s v="H"/>
    <n v="11"/>
    <m/>
  </r>
  <r>
    <s v="Jails"/>
    <s v="Fort Bend County Jail, TX"/>
    <s v="Fort Bend County Jail   (0131)"/>
    <n v="7169299"/>
    <s v="P00164424"/>
    <d v="1993-09-05T00:00:00"/>
    <m/>
    <s v="DUBEC, MATTHEW"/>
    <s v="ORAL AND FACIAL SURGERY INSTITUTE OF HOU"/>
    <n v="471372476"/>
    <n v="29165106"/>
    <d v="2023-09-06T00:00:00"/>
    <d v="2023-09-06T00:00:00"/>
    <n v="1"/>
    <d v="2023-09-22T00:00:00"/>
    <x v="9"/>
    <n v="18"/>
    <d v="2023-08-01T00:00:00"/>
    <d v="2023-12-31T00:00:00"/>
    <s v="D9612"/>
    <s v="THERAPEUTIC PARENTERAL DRUGS TWO OR MORE"/>
    <x v="5"/>
    <s v="Oral and Maxillofacial Surgery"/>
    <n v="220"/>
    <n v="220"/>
    <n v="0"/>
    <n v="0"/>
    <n v="0"/>
    <s v="Paid"/>
    <n v="223294835"/>
    <s v="HCS120230919275003"/>
    <s v="HCS"/>
    <m/>
    <m/>
    <n v="0"/>
    <m/>
    <s v="H"/>
    <n v="11"/>
    <m/>
  </r>
  <r>
    <s v="Jails"/>
    <s v="Fort Bend County Jail, TX"/>
    <s v="Fort Bend County Jail   (0131)"/>
    <n v="7169299"/>
    <s v="P00164424"/>
    <d v="1993-09-05T00:00:00"/>
    <m/>
    <s v="DUBEC, MATTHEW"/>
    <s v="ORAL AND FACIAL SURGERY INSTITUTE OF HOU"/>
    <n v="471372476"/>
    <n v="29165106"/>
    <d v="2023-09-06T00:00:00"/>
    <d v="2023-09-06T00:00:00"/>
    <n v="1"/>
    <d v="2023-09-22T00:00:00"/>
    <x v="9"/>
    <n v="18"/>
    <d v="2023-08-01T00:00:00"/>
    <d v="2023-12-31T00:00:00"/>
    <s v="D9230"/>
    <s v="ANALGES-ANXIOLYSIS-INHAL NITROUS"/>
    <x v="5"/>
    <s v="Oral and Maxillofacial Surgery"/>
    <n v="128"/>
    <n v="128"/>
    <n v="0"/>
    <n v="0"/>
    <n v="0"/>
    <s v="Paid"/>
    <n v="223294835"/>
    <s v="HCS120230919275003"/>
    <s v="HCS"/>
    <m/>
    <m/>
    <n v="0"/>
    <m/>
    <s v="H"/>
    <n v="11"/>
    <m/>
  </r>
  <r>
    <s v="Jails"/>
    <s v="Fort Bend County Jail, TX"/>
    <s v="Fort Bend County Jail   (0131)"/>
    <n v="7169299"/>
    <s v="P00164424"/>
    <d v="1993-09-05T00:00:00"/>
    <m/>
    <s v="DUBEC, MATTHEW"/>
    <s v="ORAL AND FACIAL SURGERY INSTITUTE OF HOU"/>
    <n v="471372476"/>
    <n v="29165106"/>
    <d v="2023-09-06T00:00:00"/>
    <d v="2023-09-06T00:00:00"/>
    <n v="1"/>
    <d v="2023-09-22T00:00:00"/>
    <x v="9"/>
    <n v="18"/>
    <d v="2023-08-01T00:00:00"/>
    <d v="2023-12-31T00:00:00"/>
    <s v="D9223"/>
    <s v="DEEP SEDATION/GENERAL ANESTHESIA EACH 15"/>
    <x v="5"/>
    <s v="Oral and Maxillofacial Surgery"/>
    <n v="346"/>
    <n v="0"/>
    <n v="0"/>
    <n v="346"/>
    <n v="0"/>
    <s v="Paid"/>
    <n v="223294835"/>
    <s v="HCS120230919275003"/>
    <s v="HCS"/>
    <m/>
    <m/>
    <n v="0"/>
    <m/>
    <s v="H"/>
    <n v="11"/>
    <m/>
  </r>
  <r>
    <s v="Jails"/>
    <s v="Fort Bend County Jail, TX"/>
    <s v="Fort Bend County Jail   (0131)"/>
    <n v="7169299"/>
    <s v="P00164424"/>
    <d v="1993-09-05T00:00:00"/>
    <m/>
    <s v="DUBEC, MATTHEW"/>
    <s v="ORAL AND FACIAL SURGERY INSTITUTE OF HOU"/>
    <n v="471372476"/>
    <n v="29165106"/>
    <d v="2023-09-06T00:00:00"/>
    <d v="2023-09-06T00:00:00"/>
    <n v="1"/>
    <d v="2023-09-22T00:00:00"/>
    <x v="9"/>
    <n v="18"/>
    <d v="2023-08-01T00:00:00"/>
    <d v="2023-12-31T00:00:00"/>
    <s v="D7210"/>
    <s v="REMOV ERPTD TTH W/FLP BON/TTH REMOV"/>
    <x v="5"/>
    <s v="Oral and Maxillofacial Surgery"/>
    <n v="337"/>
    <n v="0"/>
    <n v="0"/>
    <n v="337"/>
    <n v="0"/>
    <s v="Paid"/>
    <n v="223294835"/>
    <s v="HCS120230919275003"/>
    <s v="HCS"/>
    <m/>
    <m/>
    <n v="0"/>
    <m/>
    <s v="H"/>
    <n v="11"/>
    <m/>
  </r>
  <r>
    <s v="Jails"/>
    <s v="Fort Bend County Jail, TX"/>
    <s v="Fort Bend County Jail   (0131)"/>
    <n v="7169299"/>
    <s v="P00164424"/>
    <d v="1993-09-05T00:00:00"/>
    <m/>
    <s v="DUBEC, MATTHEW"/>
    <s v="ORAL AND FACIAL SURGERY INSTITUTE OF HOU"/>
    <n v="471372476"/>
    <n v="29165106"/>
    <d v="2023-09-06T00:00:00"/>
    <d v="2023-09-06T00:00:00"/>
    <n v="1"/>
    <d v="2023-09-22T00:00:00"/>
    <x v="9"/>
    <n v="18"/>
    <d v="2023-08-01T00:00:00"/>
    <d v="2023-12-31T00:00:00"/>
    <s v="D7210"/>
    <s v="REMOV ERPTD TTH W/FLP BON/TTH REMOV"/>
    <x v="5"/>
    <s v="Oral and Maxillofacial Surgery"/>
    <n v="337"/>
    <n v="0"/>
    <n v="0"/>
    <n v="337"/>
    <n v="0"/>
    <s v="Paid"/>
    <n v="223294835"/>
    <s v="HCS120230919275003"/>
    <s v="HCS"/>
    <m/>
    <m/>
    <n v="0"/>
    <m/>
    <s v="H"/>
    <n v="11"/>
    <m/>
  </r>
  <r>
    <s v="Jails"/>
    <s v="Fort Bend County Jail, TX"/>
    <s v="Fort Bend County Jail   (0131)"/>
    <n v="7169299"/>
    <s v="P00164424"/>
    <d v="1993-09-05T00:00:00"/>
    <m/>
    <s v="DUBEC, MATTHEW"/>
    <s v="ORAL AND FACIAL SURGERY INSTITUTE OF HOU"/>
    <n v="471372476"/>
    <n v="29165106"/>
    <d v="2023-09-06T00:00:00"/>
    <d v="2023-09-06T00:00:00"/>
    <n v="1"/>
    <d v="2023-09-22T00:00:00"/>
    <x v="9"/>
    <n v="18"/>
    <d v="2023-08-01T00:00:00"/>
    <d v="2023-12-31T00:00:00"/>
    <s v="D0150"/>
    <s v="COMPREHENSIVE ORAL EVALUATION"/>
    <x v="5"/>
    <s v="Oral and Maxillofacial Surgery"/>
    <n v="113"/>
    <n v="113"/>
    <n v="0"/>
    <n v="0"/>
    <n v="0"/>
    <s v="Paid"/>
    <n v="223294835"/>
    <s v="HCS120230919275003"/>
    <s v="HCS"/>
    <m/>
    <m/>
    <n v="0"/>
    <m/>
    <s v="H"/>
    <n v="11"/>
    <m/>
  </r>
  <r>
    <s v="Jails"/>
    <s v="Fort Bend County Jail, TX"/>
    <s v="Fort Bend County Jail   (0131)"/>
    <n v="7169299"/>
    <s v="P00164424"/>
    <d v="1993-09-05T00:00:00"/>
    <m/>
    <s v="DUBEC, MATTHEW"/>
    <s v="ORAL AND FACIAL SURGERY INSTITUTE OF HOU"/>
    <n v="471372476"/>
    <n v="29165106"/>
    <d v="2023-09-06T00:00:00"/>
    <d v="2023-09-06T00:00:00"/>
    <n v="1"/>
    <d v="2023-09-22T00:00:00"/>
    <x v="9"/>
    <n v="18"/>
    <d v="2023-08-01T00:00:00"/>
    <d v="2023-12-31T00:00:00"/>
    <s v="D9219"/>
    <m/>
    <x v="5"/>
    <s v="Oral and Maxillofacial Surgery"/>
    <n v="75"/>
    <n v="75"/>
    <n v="0"/>
    <n v="0"/>
    <n v="0"/>
    <s v="Paid"/>
    <n v="223294835"/>
    <s v="HCS120230919275003"/>
    <s v="HCS"/>
    <m/>
    <m/>
    <n v="0"/>
    <m/>
    <s v="H"/>
    <n v="11"/>
    <m/>
  </r>
  <r>
    <s v="Jails"/>
    <s v="Fort Bend County Jail, TX"/>
    <s v="Fort Bend County Jail   (0131)"/>
    <n v="7169299"/>
    <s v="P00164424"/>
    <d v="1993-09-05T00:00:00"/>
    <m/>
    <s v="DUBEC, MATTHEW"/>
    <s v="ORAL AND FACIAL SURGERY INSTITUTE OF HOU"/>
    <n v="471372476"/>
    <n v="29165106"/>
    <d v="2023-09-06T00:00:00"/>
    <d v="2023-09-06T00:00:00"/>
    <n v="1"/>
    <d v="2023-09-22T00:00:00"/>
    <x v="9"/>
    <n v="18"/>
    <d v="2023-08-01T00:00:00"/>
    <d v="2023-12-31T00:00:00"/>
    <s v="D9222"/>
    <m/>
    <x v="5"/>
    <s v="Oral and Maxillofacial Surgery"/>
    <n v="452"/>
    <n v="452"/>
    <n v="0"/>
    <n v="0"/>
    <n v="0"/>
    <s v="Paid"/>
    <n v="223294835"/>
    <s v="HCS120230919275003"/>
    <s v="HCS"/>
    <m/>
    <m/>
    <n v="0"/>
    <m/>
    <s v="H"/>
    <n v="11"/>
    <m/>
  </r>
  <r>
    <s v="Jails"/>
    <s v="Fort Bend County Jail, TX"/>
    <s v="Fort Bend County Jail   (0131)"/>
    <n v="7169299"/>
    <s v="P00164424"/>
    <d v="1993-09-05T00:00:00"/>
    <m/>
    <s v="DUBEC, MATTHEW"/>
    <s v="ORAL AND FACIAL SURGERY INSTITUTE OF HOU"/>
    <n v="471372476"/>
    <n v="29165106"/>
    <d v="2023-09-06T00:00:00"/>
    <d v="2023-09-06T00:00:00"/>
    <n v="1"/>
    <d v="2023-09-22T00:00:00"/>
    <x v="9"/>
    <n v="18"/>
    <d v="2023-08-01T00:00:00"/>
    <d v="2023-12-31T00:00:00"/>
    <s v="D0330"/>
    <s v="PANORAMIC FILM"/>
    <x v="5"/>
    <s v="Oral and Maxillofacial Surgery"/>
    <n v="193"/>
    <n v="193"/>
    <n v="0"/>
    <n v="0"/>
    <n v="0"/>
    <s v="Paid"/>
    <n v="223294835"/>
    <s v="HCS120230919275003"/>
    <s v="HCS"/>
    <m/>
    <m/>
    <n v="0"/>
    <m/>
    <s v="H"/>
    <n v="11"/>
    <m/>
  </r>
  <r>
    <s v="Jails"/>
    <s v="Fort Bend County Jail, TX"/>
    <s v="Fort Bend County Jail   (0131)"/>
    <n v="7169299"/>
    <s v="P00164424"/>
    <d v="1993-09-05T00:00:00"/>
    <m/>
    <s v="DUBEC, MATTHEW"/>
    <s v="ORAL AND FACIAL SURGERY INSTITUTE OF HOU"/>
    <n v="471372476"/>
    <n v="29165106"/>
    <d v="2023-09-06T00:00:00"/>
    <d v="2023-09-06T00:00:00"/>
    <n v="1"/>
    <d v="2023-09-22T00:00:00"/>
    <x v="9"/>
    <n v="18"/>
    <d v="2023-08-01T00:00:00"/>
    <d v="2023-12-31T00:00:00"/>
    <s v="D9612"/>
    <s v="THERAPEUTIC PARENTERAL DRUGS TWO OR MORE"/>
    <x v="5"/>
    <s v="Oral and Maxillofacial Surgery"/>
    <n v="220"/>
    <n v="0"/>
    <n v="0"/>
    <n v="220"/>
    <n v="0"/>
    <s v="Paid"/>
    <n v="223294835"/>
    <s v="HCS120230919275003"/>
    <s v="HCS"/>
    <m/>
    <m/>
    <n v="0"/>
    <m/>
    <s v="H"/>
    <n v="11"/>
    <m/>
  </r>
  <r>
    <s v="Jails"/>
    <s v="Fort Bend County Jail, TX"/>
    <s v="Fort Bend County Jail   (0131)"/>
    <n v="7169299"/>
    <s v="P00164424"/>
    <d v="1993-09-05T00:00:00"/>
    <m/>
    <s v="DUBEC, MATTHEW"/>
    <s v="ORAL AND FACIAL SURGERY INSTITUTE OF HOU"/>
    <n v="471372476"/>
    <n v="29165106"/>
    <d v="2023-09-06T00:00:00"/>
    <d v="2023-09-06T00:00:00"/>
    <n v="1"/>
    <d v="2023-09-22T00:00:00"/>
    <x v="9"/>
    <n v="18"/>
    <d v="2023-08-01T00:00:00"/>
    <d v="2023-12-31T00:00:00"/>
    <s v="D9230"/>
    <s v="ANALGES-ANXIOLYSIS-INHAL NITROUS"/>
    <x v="5"/>
    <s v="Oral and Maxillofacial Surgery"/>
    <n v="128"/>
    <n v="0"/>
    <n v="0"/>
    <n v="128"/>
    <n v="0"/>
    <s v="Paid"/>
    <n v="223294835"/>
    <s v="HCS120230919275003"/>
    <s v="HCS"/>
    <m/>
    <m/>
    <n v="0"/>
    <m/>
    <s v="H"/>
    <n v="11"/>
    <m/>
  </r>
  <r>
    <s v="Jails"/>
    <s v="Fort Bend County Jail, TX"/>
    <s v="Fort Bend County Jail   (0131)"/>
    <n v="7169299"/>
    <s v="P00164424"/>
    <d v="1993-09-05T00:00:00"/>
    <m/>
    <s v="DUBEC, MATTHEW"/>
    <s v="ORAL AND FACIAL SURGERY INSTITUTE OF HOU"/>
    <n v="471372476"/>
    <n v="29165106"/>
    <d v="2023-09-06T00:00:00"/>
    <d v="2023-09-06T00:00:00"/>
    <n v="1"/>
    <d v="2023-09-22T00:00:00"/>
    <x v="9"/>
    <n v="18"/>
    <d v="2023-08-01T00:00:00"/>
    <d v="2023-12-31T00:00:00"/>
    <s v="D7210"/>
    <s v="REMOV ERPTD TTH W/FLP BON/TTH REMOV"/>
    <x v="5"/>
    <s v="Oral and Maxillofacial Surgery"/>
    <n v="337"/>
    <n v="337"/>
    <n v="0"/>
    <n v="0"/>
    <n v="0"/>
    <s v="Paid"/>
    <n v="223294835"/>
    <s v="HCS120230919275003"/>
    <s v="HCS"/>
    <m/>
    <m/>
    <n v="0"/>
    <m/>
    <s v="H"/>
    <n v="11"/>
    <m/>
  </r>
  <r>
    <s v="Jails"/>
    <s v="Fort Bend County Jail, TX"/>
    <s v="Fort Bend County Jail   (0131)"/>
    <n v="7169299"/>
    <s v="P00164424"/>
    <d v="1993-09-05T00:00:00"/>
    <m/>
    <s v="DUBEC, MATTHEW"/>
    <s v="ORAL AND FACIAL SURGERY INSTITUTE OF HOU"/>
    <n v="471372476"/>
    <n v="29165106"/>
    <d v="2023-09-06T00:00:00"/>
    <d v="2023-09-06T00:00:00"/>
    <n v="1"/>
    <d v="2023-09-22T00:00:00"/>
    <x v="9"/>
    <n v="18"/>
    <d v="2023-08-01T00:00:00"/>
    <d v="2023-12-31T00:00:00"/>
    <s v="D9223"/>
    <s v="DEEP SEDATION/GENERAL ANESTHESIA EACH 15"/>
    <x v="5"/>
    <s v="Oral and Maxillofacial Surgery"/>
    <n v="346"/>
    <n v="346"/>
    <n v="0"/>
    <n v="0"/>
    <n v="0"/>
    <s v="Paid"/>
    <n v="223294835"/>
    <s v="HCS120230919275003"/>
    <s v="HCS"/>
    <m/>
    <m/>
    <n v="0"/>
    <m/>
    <s v="H"/>
    <n v="11"/>
    <m/>
  </r>
  <r>
    <s v="Jails"/>
    <s v="Fort Bend County Jail, TX"/>
    <s v="Fort Bend County Jail   (0131)"/>
    <n v="7083283"/>
    <s v="P00250575"/>
    <d v="1973-04-26T00:00:00"/>
    <m/>
    <s v="ELLIOTT, JEFFERY"/>
    <s v="ORAL AND FACIAL SURGERY INSTITUTE OF HOU"/>
    <n v="471372476"/>
    <n v="29398972"/>
    <d v="2023-10-04T00:00:00"/>
    <d v="2023-10-04T00:00:00"/>
    <n v="1"/>
    <d v="2023-10-18T00:00:00"/>
    <x v="3"/>
    <n v="21"/>
    <d v="2023-08-01T00:00:00"/>
    <d v="2023-12-31T00:00:00"/>
    <s v="D0150"/>
    <s v="COMPREHENSIVE ORAL EVALUATION"/>
    <x v="2"/>
    <s v="Oral and Maxillofacial Surgery"/>
    <n v="113"/>
    <n v="0"/>
    <n v="28.25"/>
    <n v="84.75"/>
    <n v="0.25"/>
    <s v="Paid"/>
    <n v="223328412"/>
    <s v="HCS120231017280003"/>
    <s v="HCS"/>
    <m/>
    <m/>
    <n v="0"/>
    <m/>
    <s v="H"/>
    <n v="11"/>
    <m/>
  </r>
  <r>
    <s v="Jails"/>
    <s v="Fort Bend County Jail, TX"/>
    <s v="Fort Bend County Jail   (0131)"/>
    <n v="7083283"/>
    <s v="P00250575"/>
    <d v="1973-04-26T00:00:00"/>
    <m/>
    <s v="ELLIOTT, JEFFERY"/>
    <s v="ORAL AND FACIAL SURGERY INSTITUTE OF HOU"/>
    <n v="471372476"/>
    <n v="29398972"/>
    <d v="2023-10-04T00:00:00"/>
    <d v="2023-10-04T00:00:00"/>
    <n v="1"/>
    <d v="2023-10-18T00:00:00"/>
    <x v="3"/>
    <n v="21"/>
    <d v="2023-08-01T00:00:00"/>
    <d v="2023-12-31T00:00:00"/>
    <s v="D0330"/>
    <s v="PANORAMIC FILM"/>
    <x v="2"/>
    <s v="Oral and Maxillofacial Surgery"/>
    <n v="193"/>
    <n v="0"/>
    <n v="48.25"/>
    <n v="144.75"/>
    <n v="0.25"/>
    <s v="Paid"/>
    <n v="223328412"/>
    <s v="HCS120231017280003"/>
    <s v="HCS"/>
    <m/>
    <m/>
    <n v="0"/>
    <m/>
    <s v="H"/>
    <n v="11"/>
    <m/>
  </r>
  <r>
    <s v="Jails"/>
    <s v="Fort Bend County Jail, TX"/>
    <s v="Fort Bend County Jail   (0131)"/>
    <n v="3815607"/>
    <s v="P00219957"/>
    <d v="1997-08-28T00:00:00"/>
    <m/>
    <s v="ROGERS, HANNAH"/>
    <s v="ORAL AND FACIAL SURGERY INSTITUTE OF HOU"/>
    <n v="471372476"/>
    <n v="29399002"/>
    <d v="2023-10-11T00:00:00"/>
    <d v="2023-10-11T00:00:00"/>
    <n v="1"/>
    <d v="2023-10-18T00:00:00"/>
    <x v="2"/>
    <n v="14"/>
    <d v="2023-08-01T00:00:00"/>
    <d v="2023-12-31T00:00:00"/>
    <s v="D9222"/>
    <m/>
    <x v="2"/>
    <s v="Oral and Maxillofacial Surgery"/>
    <n v="452"/>
    <n v="0"/>
    <n v="113"/>
    <n v="339"/>
    <n v="0.25"/>
    <s v="Paid"/>
    <n v="223328409"/>
    <s v="HCS120231017281001"/>
    <s v="HCS"/>
    <m/>
    <m/>
    <n v="0"/>
    <m/>
    <s v="H"/>
    <n v="11"/>
    <m/>
  </r>
  <r>
    <s v="Jails"/>
    <s v="Fort Bend County Jail, TX"/>
    <s v="Fort Bend County Jail   (0131)"/>
    <n v="3815607"/>
    <s v="P00219957"/>
    <d v="1997-08-28T00:00:00"/>
    <m/>
    <s v="ROGERS, HANNAH"/>
    <s v="ORAL AND FACIAL SURGERY INSTITUTE OF HOU"/>
    <n v="471372476"/>
    <n v="29399002"/>
    <d v="2023-10-11T00:00:00"/>
    <d v="2023-10-11T00:00:00"/>
    <n v="1"/>
    <d v="2023-10-18T00:00:00"/>
    <x v="2"/>
    <n v="14"/>
    <d v="2023-08-01T00:00:00"/>
    <d v="2023-12-31T00:00:00"/>
    <s v="D0150"/>
    <s v="COMPREHENSIVE ORAL EVALUATION"/>
    <x v="2"/>
    <s v="Oral and Maxillofacial Surgery"/>
    <n v="113"/>
    <n v="0"/>
    <n v="28.25"/>
    <n v="84.75"/>
    <n v="0.25"/>
    <s v="Paid"/>
    <n v="223328409"/>
    <s v="HCS120231017281001"/>
    <s v="HCS"/>
    <m/>
    <m/>
    <n v="0"/>
    <m/>
    <s v="H"/>
    <n v="11"/>
    <m/>
  </r>
  <r>
    <s v="Jails"/>
    <s v="Fort Bend County Jail, TX"/>
    <s v="Fort Bend County Jail   (0131)"/>
    <n v="3815607"/>
    <s v="P00219957"/>
    <d v="1997-08-28T00:00:00"/>
    <m/>
    <s v="ROGERS, HANNAH"/>
    <s v="ORAL AND FACIAL SURGERY INSTITUTE OF HOU"/>
    <n v="471372476"/>
    <n v="29399002"/>
    <d v="2023-10-11T00:00:00"/>
    <d v="2023-10-11T00:00:00"/>
    <n v="1"/>
    <d v="2023-10-18T00:00:00"/>
    <x v="2"/>
    <n v="14"/>
    <d v="2023-08-01T00:00:00"/>
    <d v="2023-12-31T00:00:00"/>
    <s v="D9223"/>
    <s v="DEEP SEDATION/GENERAL ANESTHESIA EACH 15"/>
    <x v="2"/>
    <s v="Oral and Maxillofacial Surgery"/>
    <n v="346"/>
    <n v="0"/>
    <n v="86.5"/>
    <n v="259.5"/>
    <n v="0.25"/>
    <s v="Paid"/>
    <n v="223328409"/>
    <s v="HCS120231017281001"/>
    <s v="HCS"/>
    <m/>
    <m/>
    <n v="0"/>
    <m/>
    <s v="H"/>
    <n v="11"/>
    <m/>
  </r>
  <r>
    <s v="Jails"/>
    <s v="Fort Bend County Jail, TX"/>
    <s v="Fort Bend County Jail   (0131)"/>
    <n v="3815607"/>
    <s v="P00219957"/>
    <d v="1997-08-28T00:00:00"/>
    <m/>
    <s v="ROGERS, HANNAH"/>
    <s v="ORAL AND FACIAL SURGERY INSTITUTE OF HOU"/>
    <n v="471372476"/>
    <n v="29399002"/>
    <d v="2023-10-11T00:00:00"/>
    <d v="2023-10-11T00:00:00"/>
    <n v="1"/>
    <d v="2023-10-18T00:00:00"/>
    <x v="2"/>
    <n v="14"/>
    <d v="2023-08-01T00:00:00"/>
    <d v="2023-12-31T00:00:00"/>
    <s v="D0330"/>
    <s v="PANORAMIC FILM"/>
    <x v="2"/>
    <s v="Oral and Maxillofacial Surgery"/>
    <n v="193"/>
    <n v="0"/>
    <n v="48.25"/>
    <n v="144.75"/>
    <n v="0.25"/>
    <s v="Paid"/>
    <n v="223328409"/>
    <s v="HCS120231017281001"/>
    <s v="HCS"/>
    <m/>
    <m/>
    <n v="0"/>
    <m/>
    <s v="H"/>
    <n v="11"/>
    <m/>
  </r>
  <r>
    <s v="Jails"/>
    <s v="Fort Bend County Jail, TX"/>
    <s v="Fort Bend County Jail   (0131)"/>
    <n v="3815607"/>
    <s v="P00219957"/>
    <d v="1997-08-28T00:00:00"/>
    <m/>
    <s v="ROGERS, HANNAH"/>
    <s v="ORAL AND FACIAL SURGERY INSTITUTE OF HOU"/>
    <n v="471372476"/>
    <n v="29399002"/>
    <d v="2023-10-11T00:00:00"/>
    <d v="2023-10-11T00:00:00"/>
    <n v="1"/>
    <d v="2023-10-18T00:00:00"/>
    <x v="2"/>
    <n v="14"/>
    <d v="2023-08-01T00:00:00"/>
    <d v="2023-12-31T00:00:00"/>
    <s v="D7250"/>
    <s v="SURG REMOV TOOTH ROOTS (CUT PROC)"/>
    <x v="2"/>
    <s v="Oral and Maxillofacial Surgery"/>
    <n v="356"/>
    <n v="0"/>
    <n v="89"/>
    <n v="267"/>
    <n v="0.25"/>
    <s v="Paid"/>
    <n v="223328409"/>
    <s v="HCS120231017281001"/>
    <s v="HCS"/>
    <m/>
    <m/>
    <n v="0"/>
    <m/>
    <s v="H"/>
    <n v="11"/>
    <m/>
  </r>
  <r>
    <s v="Jails"/>
    <s v="Fort Bend County Jail, TX"/>
    <s v="Fort Bend County Jail   (0131)"/>
    <n v="3815607"/>
    <s v="P00219957"/>
    <d v="1997-08-28T00:00:00"/>
    <m/>
    <s v="ROGERS, HANNAH"/>
    <s v="ORAL AND FACIAL SURGERY INSTITUTE OF HOU"/>
    <n v="471372476"/>
    <n v="29399002"/>
    <d v="2023-10-11T00:00:00"/>
    <d v="2023-10-11T00:00:00"/>
    <n v="1"/>
    <d v="2023-10-18T00:00:00"/>
    <x v="2"/>
    <n v="14"/>
    <d v="2023-08-01T00:00:00"/>
    <d v="2023-12-31T00:00:00"/>
    <s v="D9223"/>
    <s v="DEEP SEDATION/GENERAL ANESTHESIA EACH 15"/>
    <x v="2"/>
    <s v="Oral and Maxillofacial Surgery"/>
    <n v="346"/>
    <n v="0"/>
    <n v="86.5"/>
    <n v="259.5"/>
    <n v="0.25"/>
    <s v="Paid"/>
    <n v="223328409"/>
    <s v="HCS120231017281001"/>
    <s v="HCS"/>
    <m/>
    <m/>
    <n v="0"/>
    <m/>
    <s v="H"/>
    <n v="11"/>
    <m/>
  </r>
  <r>
    <s v="Jails"/>
    <s v="Fort Bend County Jail, TX"/>
    <s v="Fort Bend County Jail   (0131)"/>
    <n v="3815607"/>
    <s v="P00219957"/>
    <d v="1997-08-28T00:00:00"/>
    <m/>
    <s v="ROGERS, HANNAH"/>
    <s v="ORAL AND FACIAL SURGERY INSTITUTE OF HOU"/>
    <n v="471372476"/>
    <n v="29399002"/>
    <d v="2023-10-11T00:00:00"/>
    <d v="2023-10-11T00:00:00"/>
    <n v="1"/>
    <d v="2023-10-18T00:00:00"/>
    <x v="2"/>
    <n v="14"/>
    <d v="2023-08-01T00:00:00"/>
    <d v="2023-12-31T00:00:00"/>
    <s v="D9223"/>
    <s v="DEEP SEDATION/GENERAL ANESTHESIA EACH 15"/>
    <x v="2"/>
    <s v="Oral and Maxillofacial Surgery"/>
    <n v="346"/>
    <n v="0"/>
    <n v="86.5"/>
    <n v="259.5"/>
    <n v="0.25"/>
    <s v="Paid"/>
    <n v="223328409"/>
    <s v="HCS120231017281001"/>
    <s v="HCS"/>
    <m/>
    <m/>
    <n v="0"/>
    <m/>
    <s v="H"/>
    <n v="11"/>
    <m/>
  </r>
  <r>
    <s v="Jails"/>
    <s v="Fort Bend County Jail, TX"/>
    <s v="Fort Bend County Jail   (0131)"/>
    <n v="3815607"/>
    <s v="P00219957"/>
    <d v="1997-08-28T00:00:00"/>
    <m/>
    <s v="ROGERS, HANNAH"/>
    <s v="ORAL AND FACIAL SURGERY INSTITUTE OF HOU"/>
    <n v="471372476"/>
    <n v="29399002"/>
    <d v="2023-10-11T00:00:00"/>
    <d v="2023-10-11T00:00:00"/>
    <n v="1"/>
    <d v="2023-10-18T00:00:00"/>
    <x v="2"/>
    <n v="14"/>
    <d v="2023-08-01T00:00:00"/>
    <d v="2023-12-31T00:00:00"/>
    <s v="D7210"/>
    <s v="REMOV ERPTD TTH W/FLP BON/TTH REMOV"/>
    <x v="2"/>
    <s v="Oral and Maxillofacial Surgery"/>
    <n v="337"/>
    <n v="0"/>
    <n v="84.25"/>
    <n v="252.75"/>
    <n v="0.25"/>
    <s v="Paid"/>
    <n v="223328409"/>
    <s v="HCS120231017281001"/>
    <s v="HCS"/>
    <m/>
    <m/>
    <n v="0"/>
    <m/>
    <s v="H"/>
    <n v="11"/>
    <m/>
  </r>
  <r>
    <s v="Jails"/>
    <s v="Fort Bend County Jail, TX"/>
    <s v="Fort Bend County Jail   (0131)"/>
    <n v="3815607"/>
    <s v="P00219957"/>
    <d v="1997-08-28T00:00:00"/>
    <m/>
    <s v="ROGERS, HANNAH"/>
    <s v="ORAL AND FACIAL SURGERY INSTITUTE OF HOU"/>
    <n v="471372476"/>
    <n v="29399002"/>
    <d v="2023-10-11T00:00:00"/>
    <d v="2023-10-11T00:00:00"/>
    <n v="1"/>
    <d v="2023-10-18T00:00:00"/>
    <x v="2"/>
    <n v="14"/>
    <d v="2023-08-01T00:00:00"/>
    <d v="2023-12-31T00:00:00"/>
    <s v="D7240"/>
    <s v="REMOVAL IMPCT TOOTH COMPLT BONY"/>
    <x v="2"/>
    <s v="Oral and Maxillofacial Surgery"/>
    <n v="660"/>
    <n v="0"/>
    <n v="165"/>
    <n v="495"/>
    <n v="0.25"/>
    <s v="Paid"/>
    <n v="223328409"/>
    <s v="HCS120231017281001"/>
    <s v="HCS"/>
    <m/>
    <m/>
    <n v="0"/>
    <m/>
    <s v="H"/>
    <n v="11"/>
    <m/>
  </r>
  <r>
    <s v="Jails"/>
    <s v="Fort Bend County Jail, TX"/>
    <s v="Fort Bend County Jail   (0131)"/>
    <n v="3815607"/>
    <s v="P00219957"/>
    <d v="1997-08-28T00:00:00"/>
    <m/>
    <s v="ROGERS, HANNAH"/>
    <s v="ORAL AND FACIAL SURGERY INSTITUTE OF HOU"/>
    <n v="471372476"/>
    <n v="29399002"/>
    <d v="2023-10-11T00:00:00"/>
    <d v="2023-10-11T00:00:00"/>
    <n v="1"/>
    <d v="2023-10-18T00:00:00"/>
    <x v="2"/>
    <n v="14"/>
    <d v="2023-08-01T00:00:00"/>
    <d v="2023-12-31T00:00:00"/>
    <s v="D9223"/>
    <s v="DEEP SEDATION/GENERAL ANESTHESIA EACH 15"/>
    <x v="2"/>
    <s v="Oral and Maxillofacial Surgery"/>
    <n v="346"/>
    <n v="0"/>
    <n v="86.5"/>
    <n v="259.5"/>
    <n v="0.25"/>
    <s v="Paid"/>
    <n v="223328409"/>
    <s v="HCS120231017281001"/>
    <s v="HCS"/>
    <m/>
    <m/>
    <n v="0"/>
    <m/>
    <s v="H"/>
    <n v="11"/>
    <m/>
  </r>
  <r>
    <s v="Jails"/>
    <s v="Fort Bend County Jail, TX"/>
    <s v="Fort Bend County Jail   (0131)"/>
    <n v="3815607"/>
    <s v="P00219957"/>
    <d v="1997-08-28T00:00:00"/>
    <m/>
    <s v="ROGERS, HANNAH"/>
    <s v="ORAL AND FACIAL SURGERY INSTITUTE OF HOU"/>
    <n v="471372476"/>
    <n v="29399002"/>
    <d v="2023-10-11T00:00:00"/>
    <d v="2023-10-11T00:00:00"/>
    <n v="1"/>
    <d v="2023-10-18T00:00:00"/>
    <x v="2"/>
    <n v="14"/>
    <d v="2023-08-01T00:00:00"/>
    <d v="2023-12-31T00:00:00"/>
    <s v="D7220"/>
    <s v="REMOVAL IMPACTED TOOTH SOFT TISSUE"/>
    <x v="2"/>
    <s v="Oral and Maxillofacial Surgery"/>
    <n v="423"/>
    <n v="0"/>
    <n v="105.75"/>
    <n v="317.25"/>
    <n v="0.25"/>
    <s v="Paid"/>
    <n v="223328409"/>
    <s v="HCS120231017281001"/>
    <s v="HCS"/>
    <m/>
    <m/>
    <n v="0"/>
    <m/>
    <s v="H"/>
    <n v="11"/>
    <m/>
  </r>
  <r>
    <s v="Jails"/>
    <s v="Fort Bend County Jail, TX"/>
    <s v="Fort Bend County Jail   (0131)"/>
    <n v="3815607"/>
    <s v="P00219957"/>
    <d v="1997-08-28T00:00:00"/>
    <m/>
    <s v="ROGERS, HANNAH"/>
    <s v="ORAL AND FACIAL SURGERY INSTITUTE OF HOU"/>
    <n v="471372476"/>
    <n v="29399002"/>
    <d v="2023-10-11T00:00:00"/>
    <d v="2023-10-11T00:00:00"/>
    <n v="1"/>
    <d v="2023-10-18T00:00:00"/>
    <x v="2"/>
    <n v="14"/>
    <d v="2023-08-01T00:00:00"/>
    <d v="2023-12-31T00:00:00"/>
    <s v="D9612"/>
    <s v="THERAPEUTIC PARENTERAL DRUGS TWO OR MORE"/>
    <x v="2"/>
    <s v="Oral and Maxillofacial Surgery"/>
    <n v="220"/>
    <n v="0"/>
    <n v="55"/>
    <n v="165"/>
    <n v="0.25"/>
    <s v="Paid"/>
    <n v="223328409"/>
    <s v="HCS120231017281001"/>
    <s v="HCS"/>
    <m/>
    <m/>
    <n v="0"/>
    <m/>
    <s v="H"/>
    <n v="11"/>
    <m/>
  </r>
  <r>
    <s v="Jails"/>
    <s v="Fort Bend County Jail, TX"/>
    <s v="Fort Bend County Jail   (0131)"/>
    <n v="3815607"/>
    <s v="P00219957"/>
    <d v="1997-08-28T00:00:00"/>
    <m/>
    <s v="ROGERS, HANNAH"/>
    <s v="ORAL AND FACIAL SURGERY INSTITUTE OF HOU"/>
    <n v="471372476"/>
    <n v="29399002"/>
    <d v="2023-10-11T00:00:00"/>
    <d v="2023-10-11T00:00:00"/>
    <n v="1"/>
    <d v="2023-10-18T00:00:00"/>
    <x v="2"/>
    <n v="14"/>
    <d v="2023-08-01T00:00:00"/>
    <d v="2023-12-31T00:00:00"/>
    <s v="D9230"/>
    <s v="ANALGES-ANXIOLYSIS-INHAL NITROUS"/>
    <x v="2"/>
    <s v="Oral and Maxillofacial Surgery"/>
    <n v="128"/>
    <n v="0"/>
    <n v="32"/>
    <n v="96"/>
    <n v="0.25"/>
    <s v="Paid"/>
    <n v="223328409"/>
    <s v="HCS120231017281001"/>
    <s v="HCS"/>
    <m/>
    <m/>
    <n v="0"/>
    <m/>
    <s v="H"/>
    <n v="11"/>
    <m/>
  </r>
  <r>
    <s v="Jails"/>
    <s v="Fort Bend County Jail, TX"/>
    <s v="Fort Bend County Jail   (0131)"/>
    <n v="7203426"/>
    <s v="P00251841"/>
    <d v="1989-11-19T00:00:00"/>
    <m/>
    <s v="BENTLEY, NICOLE"/>
    <s v="RICHBEND EMERGENCY PHYSICIANS PLLC"/>
    <n v="920366567"/>
    <n v="29251129"/>
    <d v="2023-08-29T00:00:00"/>
    <d v="2023-08-29T00:00:00"/>
    <n v="1"/>
    <d v="2023-09-15T00:00:00"/>
    <x v="4"/>
    <n v="19"/>
    <d v="2023-08-01T00:00:00"/>
    <d v="2023-12-31T00:00:00"/>
    <n v="99284"/>
    <s v="EMERGENCY DEPT VISIT"/>
    <x v="0"/>
    <s v="Emergency Medicine"/>
    <n v="947"/>
    <n v="0"/>
    <n v="865.76"/>
    <n v="81.239999999999995"/>
    <n v="0.91420000000000001"/>
    <s v="Paid"/>
    <n v="223287676"/>
    <s v="HE20230914022061"/>
    <s v="HCS"/>
    <s v="Z02.89"/>
    <s v="Encounter for other administrative examinations"/>
    <n v="0"/>
    <m/>
    <s v="H"/>
    <n v="23"/>
    <m/>
  </r>
  <r>
    <s v="Jails"/>
    <s v="Fort Bend County Jail, TX"/>
    <s v="Fort Bend County Jail   (0131)"/>
    <n v="6987971"/>
    <s v="P00249669"/>
    <d v="2005-12-02T00:00:00"/>
    <m/>
    <s v="BICKHAM, JAYVION"/>
    <s v="RICHBEND EMERGENCY PHYSICIANS PLLC"/>
    <n v="920366567"/>
    <n v="30166315"/>
    <d v="2023-11-20T00:00:00"/>
    <d v="2023-11-20T00:00:00"/>
    <n v="1"/>
    <d v="2023-12-05T00:00:00"/>
    <x v="1"/>
    <n v="8"/>
    <d v="2023-08-01T00:00:00"/>
    <d v="2023-12-31T00:00:00"/>
    <n v="99284"/>
    <s v="EMERGENCY DEPT VISIT"/>
    <x v="0"/>
    <s v="Emergency Medicine"/>
    <n v="947"/>
    <n v="0"/>
    <n v="865.76"/>
    <n v="81.239999999999995"/>
    <n v="0.91420000000000001"/>
    <s v="Paid"/>
    <n v="223401751"/>
    <s v="HE20231204021001"/>
    <s v="HCS"/>
    <s v="S01.112A"/>
    <s v="Laceration without foreign body of left eyelid and periocular area, initial encounter"/>
    <n v="0"/>
    <m/>
    <s v="H"/>
    <n v="23"/>
    <m/>
  </r>
  <r>
    <s v="Jails"/>
    <s v="Fort Bend County Jail, TX"/>
    <s v="Fort Bend County Jail   (0131)"/>
    <n v="6987971"/>
    <s v="P00249669"/>
    <d v="2005-12-02T00:00:00"/>
    <m/>
    <s v="BICKHAM, JAYVION"/>
    <s v="RICHBEND EMERGENCY PHYSICIANS PLLC"/>
    <n v="920366567"/>
    <n v="30166315"/>
    <d v="2023-11-20T00:00:00"/>
    <d v="2023-11-20T00:00:00"/>
    <n v="1"/>
    <d v="2023-12-05T00:00:00"/>
    <x v="1"/>
    <n v="8"/>
    <d v="2023-08-01T00:00:00"/>
    <d v="2023-12-31T00:00:00"/>
    <n v="12011"/>
    <s v="RPR F/E/E/N/L/M 2.5 CM/&lt;"/>
    <x v="0"/>
    <s v="Emergency Medicine"/>
    <n v="423"/>
    <n v="0"/>
    <n v="379.43"/>
    <n v="43.57"/>
    <n v="0.89690000000000003"/>
    <s v="Paid"/>
    <n v="223401751"/>
    <s v="HE20231204021001"/>
    <s v="HCS"/>
    <s v="S01.112A"/>
    <s v="Laceration without foreign body of left eyelid and periocular area, initial encounter"/>
    <n v="0"/>
    <m/>
    <s v="H"/>
    <n v="23"/>
    <m/>
  </r>
  <r>
    <s v="Jails"/>
    <s v="Fort Bend County Jail, TX"/>
    <s v="Fort Bend County Jail   (0131)"/>
    <n v="4112041"/>
    <s v="P00138695"/>
    <d v="1982-10-29T00:00:00"/>
    <m/>
    <s v="CARDENAS, OSCAR"/>
    <s v="RICHBEND EMERGENCY PHYSICIANS PLLC"/>
    <n v="920366567"/>
    <n v="29914267"/>
    <d v="2023-10-29T00:00:00"/>
    <d v="2023-10-29T00:00:00"/>
    <n v="1"/>
    <d v="2023-11-13T00:00:00"/>
    <x v="8"/>
    <n v="9"/>
    <d v="2023-08-01T00:00:00"/>
    <d v="2023-12-31T00:00:00"/>
    <n v="99284"/>
    <s v="EMERGENCY DEPT VISIT"/>
    <x v="0"/>
    <s v="Emergency Medicine"/>
    <n v="947"/>
    <n v="0"/>
    <n v="865.76"/>
    <n v="81.239999999999995"/>
    <n v="0.91420000000000001"/>
    <s v="Paid"/>
    <n v="223369986"/>
    <s v="HE20231110023005"/>
    <s v="HCS"/>
    <s v="S63.522A"/>
    <s v="Sprain of radiocarpal joint of left wrist, initial encounter"/>
    <n v="0"/>
    <m/>
    <s v="H"/>
    <n v="23"/>
    <m/>
  </r>
  <r>
    <s v="Jails"/>
    <s v="Fort Bend County Jail, TX"/>
    <s v="Fort Bend County Jail   (0131)"/>
    <n v="7292896"/>
    <s v="P00252831"/>
    <d v="2001-09-10T00:00:00"/>
    <m/>
    <s v="CASTANEDA, ALDO"/>
    <s v="RICHBEND EMERGENCY PHYSICIANS PLLC"/>
    <n v="920366567"/>
    <n v="29914019"/>
    <d v="2023-10-29T00:00:00"/>
    <d v="2023-10-29T00:00:00"/>
    <n v="1"/>
    <d v="2023-11-10T00:00:00"/>
    <x v="8"/>
    <n v="12"/>
    <d v="2023-08-01T00:00:00"/>
    <d v="2023-12-31T00:00:00"/>
    <n v="99283"/>
    <s v="EMERGENCY DEPT VISIT"/>
    <x v="0"/>
    <s v="Emergency Medicine"/>
    <n v="560"/>
    <n v="0"/>
    <n v="504.48"/>
    <n v="55.52"/>
    <n v="0.90080000000000005"/>
    <s v="Paid"/>
    <n v="223367813"/>
    <s v="HE20231109023002"/>
    <s v="HCS"/>
    <s v="Z04.81"/>
    <m/>
    <n v="0"/>
    <m/>
    <s v="H"/>
    <n v="23"/>
    <m/>
  </r>
  <r>
    <s v="Jails"/>
    <s v="Fort Bend County Jail, TX"/>
    <s v="Fort Bend County Jail   (0131)"/>
    <n v="7292896"/>
    <s v="P00252831"/>
    <d v="2001-09-10T00:00:00"/>
    <m/>
    <s v="CASTANEDA, ALDO"/>
    <s v="RICHBEND EMERGENCY PHYSICIANS PLLC"/>
    <n v="920366567"/>
    <n v="29914019"/>
    <d v="2023-10-29T00:00:00"/>
    <d v="2023-10-29T00:00:00"/>
    <n v="1"/>
    <d v="2023-11-20T00:00:00"/>
    <x v="7"/>
    <n v="16"/>
    <d v="2023-08-01T00:00:00"/>
    <d v="2023-12-31T00:00:00"/>
    <n v="99283"/>
    <s v="EMERGENCY DEPT VISIT"/>
    <x v="0"/>
    <s v="Emergency Medicine"/>
    <n v="560"/>
    <n v="560"/>
    <n v="0"/>
    <n v="0"/>
    <n v="0"/>
    <s v="Paid"/>
    <n v="223379765"/>
    <s v="HE20231117023051"/>
    <s v="HCS"/>
    <s v="Z04.81"/>
    <m/>
    <n v="0"/>
    <m/>
    <s v="H"/>
    <n v="23"/>
    <m/>
  </r>
  <r>
    <s v="Jails"/>
    <s v="Fort Bend County Jail, TX"/>
    <s v="Fort Bend County Jail   (0131)"/>
    <n v="7212205"/>
    <s v="P00251936"/>
    <d v="1980-10-29T00:00:00"/>
    <m/>
    <s v="ESCOBAR VALENIC, JOSE"/>
    <s v="RICHBEND EMERGENCY PHYSICIANS PLLC"/>
    <n v="920366567"/>
    <n v="29280477"/>
    <d v="2023-09-04T00:00:00"/>
    <d v="2023-09-04T00:00:00"/>
    <n v="1"/>
    <d v="2023-09-28T00:00:00"/>
    <x v="5"/>
    <n v="27"/>
    <d v="2023-08-01T00:00:00"/>
    <d v="2023-12-31T00:00:00"/>
    <n v="99285"/>
    <s v="EMERGENCY DEPT VISIT"/>
    <x v="0"/>
    <s v="Emergency Medicine"/>
    <n v="1374"/>
    <n v="0"/>
    <n v="1273"/>
    <n v="101"/>
    <n v="0.9264"/>
    <s v="Paid"/>
    <n v="223301408"/>
    <s v="HE20230927022003"/>
    <s v="HCS"/>
    <s v="S10.93XA"/>
    <s v="Contusion of unspecified part of neck, initial encounter"/>
    <n v="0"/>
    <m/>
    <s v="H"/>
    <n v="23"/>
    <m/>
  </r>
  <r>
    <s v="Jails"/>
    <s v="Fort Bend County Jail, TX"/>
    <s v="Fort Bend County Jail   (0131)"/>
    <n v="7212205"/>
    <s v="P00251936"/>
    <d v="1980-10-29T00:00:00"/>
    <m/>
    <s v="ESCOBAR VALENIC, JOSE"/>
    <s v="RICHBEND EMERGENCY PHYSICIANS PLLC"/>
    <n v="920366567"/>
    <n v="29280477"/>
    <d v="2023-09-04T00:00:00"/>
    <d v="2023-09-04T00:00:00"/>
    <n v="1"/>
    <d v="2023-09-28T00:00:00"/>
    <x v="5"/>
    <n v="27"/>
    <d v="2023-08-01T00:00:00"/>
    <d v="2023-12-31T00:00:00"/>
    <n v="93010"/>
    <s v="ELECTROCARDIOGRAM REPORT"/>
    <x v="0"/>
    <s v="Emergency Medicine"/>
    <n v="65"/>
    <n v="0"/>
    <n v="58.58"/>
    <n v="6.42"/>
    <n v="0.9012"/>
    <s v="Paid"/>
    <n v="223301408"/>
    <s v="HE20230927022003"/>
    <s v="HCS"/>
    <s v="S10.93XA"/>
    <s v="Contusion of unspecified part of neck, initial encounter"/>
    <n v="0"/>
    <m/>
    <s v="H"/>
    <n v="23"/>
    <m/>
  </r>
  <r>
    <s v="Jails"/>
    <s v="Fort Bend County Jail, TX"/>
    <s v="Fort Bend County Jail   (0131)"/>
    <n v="7235271"/>
    <s v="P00252188"/>
    <d v="1975-07-13T00:00:00"/>
    <m/>
    <s v="HERNANDEZ-SANCH, ANACLETO"/>
    <s v="RICHBEND EMERGENCY PHYSICIANS PLLC"/>
    <n v="920366567"/>
    <n v="29457576"/>
    <d v="2023-09-19T00:00:00"/>
    <d v="2023-09-19T00:00:00"/>
    <n v="1"/>
    <d v="2023-10-03T00:00:00"/>
    <x v="5"/>
    <n v="22"/>
    <d v="2023-08-01T00:00:00"/>
    <d v="2023-12-31T00:00:00"/>
    <n v="99285"/>
    <s v="EMERGENCY DEPT VISIT"/>
    <x v="0"/>
    <s v="Emergency Medicine"/>
    <n v="1374"/>
    <n v="0"/>
    <n v="1273"/>
    <n v="101"/>
    <n v="0.9264"/>
    <s v="Paid"/>
    <n v="223305007"/>
    <s v="HE20231002021002"/>
    <s v="HCS"/>
    <s v="I10"/>
    <s v="Essential (primary) hypertension"/>
    <n v="0"/>
    <m/>
    <s v="H"/>
    <n v="23"/>
    <m/>
  </r>
  <r>
    <s v="Jails"/>
    <s v="Fort Bend County Jail, TX"/>
    <s v="Fort Bend County Jail   (0131)"/>
    <n v="7255808"/>
    <s v="P00252407"/>
    <d v="1981-06-11T00:00:00"/>
    <m/>
    <s v="HILL, HAROLD"/>
    <s v="RICHBEND EMERGENCY PHYSICIANS PLLC"/>
    <n v="920366567"/>
    <n v="29616920"/>
    <d v="2023-10-03T00:00:00"/>
    <d v="2023-10-03T00:00:00"/>
    <n v="1"/>
    <d v="2023-10-18T00:00:00"/>
    <x v="2"/>
    <n v="14"/>
    <d v="2023-08-01T00:00:00"/>
    <d v="2023-12-31T00:00:00"/>
    <n v="99284"/>
    <s v="EMERGENCY DEPT VISIT"/>
    <x v="0"/>
    <s v="Emergency Medicine"/>
    <n v="947"/>
    <n v="0"/>
    <n v="865.76"/>
    <n v="81.239999999999995"/>
    <n v="0.91420000000000001"/>
    <s v="Paid"/>
    <n v="223328056"/>
    <s v="HE20231017019001"/>
    <s v="HCS"/>
    <s v="S80.811A"/>
    <s v="Abrasion, right lower leg, initial encounter"/>
    <n v="0"/>
    <m/>
    <s v="H"/>
    <n v="23"/>
    <m/>
  </r>
  <r>
    <s v="Jails"/>
    <s v="Fort Bend County Jail, TX"/>
    <s v="Fort Bend County Jail   (0131)"/>
    <n v="7240124"/>
    <s v="P00252241"/>
    <d v="1990-08-19T00:00:00"/>
    <m/>
    <s v="HILL, TARAH"/>
    <s v="RICHBEND EMERGENCY PHYSICIANS PLLC"/>
    <n v="920366567"/>
    <n v="29566528"/>
    <d v="2023-09-29T00:00:00"/>
    <d v="2023-09-29T00:00:00"/>
    <n v="1"/>
    <d v="2023-10-24T00:00:00"/>
    <x v="3"/>
    <n v="15"/>
    <d v="2023-08-01T00:00:00"/>
    <d v="2023-12-31T00:00:00"/>
    <n v="99285"/>
    <s v="EMERGENCY DEPT VISIT"/>
    <x v="0"/>
    <s v="Emergency Medicine"/>
    <n v="1374"/>
    <n v="0"/>
    <n v="1273"/>
    <n v="101"/>
    <n v="0.9264"/>
    <s v="Paid"/>
    <n v="223335962"/>
    <s v="HE20231020025001"/>
    <s v="HCS"/>
    <s v="N20.0"/>
    <s v="Calculus of kidney"/>
    <n v="0"/>
    <m/>
    <s v="H"/>
    <n v="23"/>
    <m/>
  </r>
  <r>
    <s v="Jails"/>
    <s v="Fort Bend County Jail, TX"/>
    <s v="Fort Bend County Jail   (0131)"/>
    <n v="4832375"/>
    <s v="P00231193"/>
    <d v="1951-04-28T00:00:00"/>
    <m/>
    <s v="HOWELL, ALVIN"/>
    <s v="RICHBEND EMERGENCY PHYSICIANS PLLC"/>
    <n v="920366567"/>
    <n v="30218277"/>
    <d v="2023-11-23T00:00:00"/>
    <d v="2023-11-23T00:00:00"/>
    <n v="1"/>
    <d v="2023-12-05T00:00:00"/>
    <x v="1"/>
    <n v="8"/>
    <d v="2023-08-01T00:00:00"/>
    <d v="2023-12-31T00:00:00"/>
    <n v="99285"/>
    <s v="EMERGENCY DEPT VISIT"/>
    <x v="0"/>
    <s v="Emergency Medicine"/>
    <n v="1374"/>
    <n v="0"/>
    <n v="1273"/>
    <n v="101"/>
    <n v="0.9264"/>
    <s v="Paid"/>
    <n v="223401756"/>
    <s v="HE20231204021002"/>
    <s v="HCS"/>
    <s v="S05.01XA"/>
    <s v="Injury of conjunctiva and corneal abrasion without foreign body, right eye, initial encounter"/>
    <n v="0"/>
    <m/>
    <s v="H"/>
    <n v="23"/>
    <m/>
  </r>
  <r>
    <s v="Jails"/>
    <s v="Fort Bend County Jail, TX"/>
    <s v="Fort Bend County Jail   (0131)"/>
    <n v="7209719"/>
    <s v="P00251906"/>
    <d v="1981-03-06T00:00:00"/>
    <m/>
    <s v="IBARRA, FELIX"/>
    <s v="RICHBEND EMERGENCY PHYSICIANS PLLC"/>
    <n v="920366567"/>
    <n v="29280654"/>
    <d v="2023-09-02T00:00:00"/>
    <d v="2023-09-02T00:00:00"/>
    <n v="1"/>
    <d v="2023-09-18T00:00:00"/>
    <x v="4"/>
    <n v="16"/>
    <d v="2023-08-01T00:00:00"/>
    <d v="2023-12-31T00:00:00"/>
    <n v="99283"/>
    <s v="EMERGENCY DEPT VISIT"/>
    <x v="0"/>
    <s v="Emergency Medicine"/>
    <n v="560"/>
    <n v="0"/>
    <n v="504.48"/>
    <n v="55.52"/>
    <n v="0.90080000000000005"/>
    <s v="Paid"/>
    <n v="223289314"/>
    <s v="HE20230915026005"/>
    <s v="HCS"/>
    <s v="F15.10"/>
    <s v="Other stimulant abuse, uncomplicated"/>
    <n v="0"/>
    <m/>
    <s v="H"/>
    <n v="23"/>
    <m/>
  </r>
  <r>
    <s v="Jails"/>
    <s v="Fort Bend County Jail, TX"/>
    <s v="Fort Bend County Jail   (0131)"/>
    <n v="7197957"/>
    <s v="P00086686"/>
    <d v="1947-06-02T00:00:00"/>
    <m/>
    <s v="JACOB, KURIAN"/>
    <s v="RICHBEND EMERGENCY PHYSICIANS PLLC"/>
    <n v="920366567"/>
    <n v="30108410"/>
    <d v="2023-11-15T00:00:00"/>
    <d v="2023-11-15T00:00:00"/>
    <n v="1"/>
    <d v="2023-12-06T00:00:00"/>
    <x v="1"/>
    <n v="7"/>
    <d v="2023-08-01T00:00:00"/>
    <d v="2023-12-31T00:00:00"/>
    <n v="99285"/>
    <s v="EMERGENCY DEPT VISIT"/>
    <x v="0"/>
    <s v="Emergency Medicine"/>
    <n v="1374"/>
    <n v="0"/>
    <n v="1273"/>
    <n v="101"/>
    <n v="0.9264"/>
    <s v="Paid"/>
    <n v="223403574"/>
    <s v="HE20231205023001"/>
    <s v="HCS"/>
    <s v="E11.65"/>
    <s v="Type 2 diabetes mellitus with hyperglycemia"/>
    <n v="0"/>
    <m/>
    <s v="H"/>
    <n v="23"/>
    <m/>
  </r>
  <r>
    <s v="Jails"/>
    <s v="Fort Bend County Jail, TX"/>
    <s v="Fort Bend County Jail   (0131)"/>
    <n v="4760720"/>
    <s v="P00230508"/>
    <d v="1987-02-22T00:00:00"/>
    <m/>
    <s v="JOHN, TIFFANY"/>
    <s v="RICHBEND EMERGENCY PHYSICIANS PLLC"/>
    <n v="920366567"/>
    <n v="29695997"/>
    <d v="2023-10-11T00:00:00"/>
    <d v="2023-10-11T00:00:00"/>
    <n v="1"/>
    <d v="2023-10-27T00:00:00"/>
    <x v="3"/>
    <n v="12"/>
    <d v="2023-08-01T00:00:00"/>
    <d v="2023-12-31T00:00:00"/>
    <n v="99291"/>
    <s v="CRITICAL CARE FIRST HOUR"/>
    <x v="0"/>
    <s v="Emergency Medicine"/>
    <n v="1688"/>
    <n v="0"/>
    <n v="1504.19"/>
    <n v="183.81"/>
    <n v="0.8911"/>
    <s v="Paid"/>
    <n v="223345045"/>
    <s v="HE20231026021001"/>
    <s v="HCS"/>
    <s v="N30.01"/>
    <s v="Acute cystitis with hematuria"/>
    <n v="0"/>
    <m/>
    <s v="H"/>
    <n v="23"/>
    <m/>
  </r>
  <r>
    <s v="Jails"/>
    <s v="Fort Bend County Jail, TX"/>
    <s v="Fort Bend County Jail   (0131)"/>
    <n v="4760720"/>
    <s v="P00230508"/>
    <d v="1987-02-22T00:00:00"/>
    <m/>
    <s v="JOHN, TIFFANY"/>
    <s v="RICHBEND EMERGENCY PHYSICIANS PLLC"/>
    <n v="920366567"/>
    <n v="29695997"/>
    <d v="2023-10-11T00:00:00"/>
    <d v="2023-10-11T00:00:00"/>
    <n v="1"/>
    <d v="2023-10-27T00:00:00"/>
    <x v="3"/>
    <n v="12"/>
    <d v="2023-08-01T00:00:00"/>
    <d v="2023-12-31T00:00:00"/>
    <n v="36556"/>
    <s v="INSERT NON-TUNNEL CV CATH"/>
    <x v="0"/>
    <s v="Emergency Medicine"/>
    <n v="653"/>
    <n v="0"/>
    <n v="586.98"/>
    <n v="66.02"/>
    <n v="0.89880000000000004"/>
    <s v="Paid"/>
    <n v="223345066"/>
    <s v="HE20231026021002"/>
    <s v="HCS"/>
    <s v="A41.9"/>
    <s v="Sepsis, unspecified organism"/>
    <n v="0"/>
    <m/>
    <s v="H"/>
    <n v="23"/>
    <m/>
  </r>
  <r>
    <s v="Jails"/>
    <s v="Fort Bend County Jail, TX"/>
    <s v="Fort Bend County Jail   (0131)"/>
    <n v="4760720"/>
    <s v="P00230508"/>
    <d v="1987-02-22T00:00:00"/>
    <m/>
    <s v="JOHN, TIFFANY"/>
    <s v="RICHBEND EMERGENCY PHYSICIANS PLLC"/>
    <n v="920366567"/>
    <n v="29695997"/>
    <d v="2023-10-11T00:00:00"/>
    <d v="2023-10-11T00:00:00"/>
    <n v="1"/>
    <d v="2023-10-27T00:00:00"/>
    <x v="3"/>
    <n v="12"/>
    <d v="2023-08-01T00:00:00"/>
    <d v="2023-12-31T00:00:00"/>
    <n v="76937"/>
    <s v="US GUIDE VASCULAR ACCESS"/>
    <x v="0"/>
    <s v="Emergency Medicine"/>
    <n v="312"/>
    <n v="0"/>
    <n v="300.77"/>
    <n v="11.23"/>
    <n v="0.96399999999999997"/>
    <s v="Paid"/>
    <n v="223345066"/>
    <s v="HE20231026021002"/>
    <s v="HCS"/>
    <s v="A41.9"/>
    <s v="Sepsis, unspecified organism"/>
    <n v="0"/>
    <m/>
    <s v="H"/>
    <n v="23"/>
    <m/>
  </r>
  <r>
    <s v="Jails"/>
    <s v="Fort Bend County Jail, TX"/>
    <s v="Fort Bend County Jail   (0131)"/>
    <n v="4046461"/>
    <s v="P00223555"/>
    <d v="1976-08-09T00:00:00"/>
    <m/>
    <s v="KING, WESLIE"/>
    <s v="RICHBEND EMERGENCY PHYSICIANS PLLC"/>
    <n v="920366567"/>
    <n v="30075938"/>
    <d v="2023-09-12T00:00:00"/>
    <d v="2023-09-12T00:00:00"/>
    <n v="1"/>
    <d v="2023-10-02T00:00:00"/>
    <x v="8"/>
    <n v="51"/>
    <d v="2023-08-01T00:00:00"/>
    <d v="2023-12-31T00:00:00"/>
    <n v="99284"/>
    <s v="EMERGENCY DEPT VISIT"/>
    <x v="0"/>
    <s v="Emergency Medicine"/>
    <n v="947"/>
    <n v="0"/>
    <n v="865.76"/>
    <n v="81.239999999999995"/>
    <n v="0.91420000000000001"/>
    <s v="Paid"/>
    <n v="223303970"/>
    <s v="HE20230929023005"/>
    <s v="HCS"/>
    <s v="H60.12"/>
    <s v="Cellulitis of left external ear"/>
    <n v="0"/>
    <m/>
    <s v="H"/>
    <n v="23"/>
    <m/>
  </r>
  <r>
    <s v="Jails"/>
    <s v="Fort Bend County Jail, TX"/>
    <s v="Fort Bend County Jail   (0131)"/>
    <n v="7326247"/>
    <s v="P00253176"/>
    <d v="1976-07-08T00:00:00"/>
    <m/>
    <s v="MORIKAMI, YOKO"/>
    <s v="RICHBEND EMERGENCY PHYSICIANS PLLC"/>
    <n v="920366567"/>
    <n v="30218508"/>
    <d v="2023-11-22T00:00:00"/>
    <d v="2023-11-22T00:00:00"/>
    <n v="1"/>
    <d v="2023-12-07T00:00:00"/>
    <x v="1"/>
    <n v="6"/>
    <d v="2023-08-01T00:00:00"/>
    <d v="2023-12-31T00:00:00"/>
    <n v="99283"/>
    <s v="EMERGENCY DEPT VISIT"/>
    <x v="0"/>
    <s v="Emergency Medicine"/>
    <n v="560"/>
    <n v="0"/>
    <n v="504.48"/>
    <n v="55.52"/>
    <n v="0.90080000000000005"/>
    <s v="Paid"/>
    <n v="223406196"/>
    <s v="HE20231206021008"/>
    <s v="HCS"/>
    <s v="S09.90XA"/>
    <s v="Unspecified injury of head, initial encounter"/>
    <n v="0"/>
    <m/>
    <s v="H"/>
    <n v="23"/>
    <m/>
  </r>
  <r>
    <s v="Jails"/>
    <s v="Fort Bend County Jail, TX"/>
    <s v="Fort Bend County Jail   (0131)"/>
    <n v="7159132"/>
    <s v="P94002264"/>
    <d v="1950-10-10T00:00:00"/>
    <m/>
    <s v="NORA, HELEN"/>
    <s v="RICHBEND EMERGENCY PHYSICIANS PLLC"/>
    <n v="920366567"/>
    <n v="29386242"/>
    <d v="2023-09-13T00:00:00"/>
    <d v="2023-09-13T00:00:00"/>
    <n v="1"/>
    <d v="2023-09-26T00:00:00"/>
    <x v="9"/>
    <n v="14"/>
    <d v="2023-08-01T00:00:00"/>
    <d v="2023-12-31T00:00:00"/>
    <n v="99284"/>
    <s v="EMERGENCY DEPT VISIT"/>
    <x v="0"/>
    <s v="ER Evaluation"/>
    <n v="947"/>
    <n v="0"/>
    <n v="865.76"/>
    <n v="81.239999999999995"/>
    <n v="0.91420000000000001"/>
    <s v="Paid"/>
    <n v="223298542"/>
    <s v="HE20230925019001"/>
    <s v="HCS"/>
    <s v="J44.9"/>
    <s v="Chronic obstructive pulmonary disease, unspecified"/>
    <n v="0"/>
    <m/>
    <s v="H"/>
    <n v="23"/>
    <m/>
  </r>
  <r>
    <s v="Jails"/>
    <s v="Fort Bend County Jail, TX"/>
    <s v="Fort Bend County Jail   (0131)"/>
    <n v="7229588"/>
    <s v="P00252127"/>
    <d v="1966-11-03T00:00:00"/>
    <m/>
    <s v="SUN, XIA"/>
    <s v="RICHBEND EMERGENCY PHYSICIANS PLLC"/>
    <n v="920366567"/>
    <n v="29428489"/>
    <d v="2023-09-15T00:00:00"/>
    <d v="2023-09-15T00:00:00"/>
    <n v="1"/>
    <d v="2023-10-06T00:00:00"/>
    <x v="5"/>
    <n v="19"/>
    <d v="2023-08-01T00:00:00"/>
    <d v="2023-12-31T00:00:00"/>
    <n v="99284"/>
    <s v="EMERGENCY DEPT VISIT"/>
    <x v="0"/>
    <s v="Emergency Medicine"/>
    <n v="947"/>
    <n v="0"/>
    <n v="865.76"/>
    <n v="81.239999999999995"/>
    <n v="0.91420000000000001"/>
    <s v="Paid"/>
    <n v="223311852"/>
    <s v="HE20231002021001"/>
    <s v="HCS"/>
    <s v="I10"/>
    <s v="Essential (primary) hypertension"/>
    <n v="0"/>
    <m/>
    <s v="H"/>
    <n v="23"/>
    <m/>
  </r>
  <r>
    <s v="Jails"/>
    <s v="Fort Bend County Jail, TX"/>
    <s v="Fort Bend County Jail   (0131)"/>
    <n v="7229588"/>
    <s v="P00252127"/>
    <d v="1966-11-03T00:00:00"/>
    <m/>
    <s v="SUN, XIA"/>
    <s v="RICHBEND EMERGENCY PHYSICIANS PLLC"/>
    <n v="920366567"/>
    <n v="29914829"/>
    <d v="2023-10-27T00:00:00"/>
    <d v="2023-10-27T00:00:00"/>
    <n v="1"/>
    <d v="2023-11-07T00:00:00"/>
    <x v="8"/>
    <n v="15"/>
    <d v="2023-08-01T00:00:00"/>
    <d v="2023-12-31T00:00:00"/>
    <n v="99284"/>
    <s v="EMERGENCY DEPT VISIT"/>
    <x v="0"/>
    <s v="Emergency Medicine"/>
    <n v="947"/>
    <n v="0"/>
    <n v="865.76"/>
    <n v="81.239999999999995"/>
    <n v="0.91420000000000001"/>
    <s v="Paid"/>
    <n v="223360814"/>
    <s v="HE20231106017008"/>
    <s v="HCS"/>
    <s v="I10"/>
    <s v="Essential (primary) hypertension"/>
    <n v="0"/>
    <m/>
    <s v="H"/>
    <n v="23"/>
    <m/>
  </r>
  <r>
    <s v="Jails"/>
    <s v="Fort Bend County Jail, TX"/>
    <s v="Fort Bend County Jail   (0131)"/>
    <n v="7229588"/>
    <s v="P00252127"/>
    <d v="1966-11-03T00:00:00"/>
    <m/>
    <s v="SUN, XIA"/>
    <s v="RICHBEND EMERGENCY PHYSICIANS PLLC"/>
    <n v="920366567"/>
    <n v="29914829"/>
    <d v="2023-10-27T00:00:00"/>
    <d v="2023-10-27T00:00:00"/>
    <n v="1"/>
    <d v="2023-11-13T00:00:00"/>
    <x v="8"/>
    <n v="9"/>
    <d v="2023-08-01T00:00:00"/>
    <d v="2023-12-31T00:00:00"/>
    <n v="99284"/>
    <s v="EMERGENCY DEPT VISIT"/>
    <x v="0"/>
    <s v="Emergency Medicine"/>
    <n v="947"/>
    <n v="947"/>
    <n v="0"/>
    <n v="0"/>
    <n v="0"/>
    <s v="Paid"/>
    <n v="223369987"/>
    <s v="HE20231110023004"/>
    <s v="HCS"/>
    <s v="I10"/>
    <s v="Essential (primary) hypertension"/>
    <n v="0"/>
    <m/>
    <s v="H"/>
    <n v="23"/>
    <m/>
  </r>
  <r>
    <s v="Jails"/>
    <s v="Fort Bend County Jail, TX"/>
    <s v="Fort Bend County Jail   (0131)"/>
    <n v="7169970"/>
    <s v="P00156871"/>
    <d v="1987-09-30T00:00:00"/>
    <m/>
    <s v="TAYLOR, WILLIAM"/>
    <s v="RICHBEND EMERGENCY PHYSICIANS PLLC"/>
    <n v="920366567"/>
    <n v="29280112"/>
    <d v="2023-09-02T00:00:00"/>
    <d v="2023-09-02T00:00:00"/>
    <n v="1"/>
    <d v="2023-09-22T00:00:00"/>
    <x v="9"/>
    <n v="18"/>
    <d v="2023-08-01T00:00:00"/>
    <d v="2023-12-31T00:00:00"/>
    <n v="99285"/>
    <s v="EMERGENCY DEPT VISIT"/>
    <x v="0"/>
    <s v="Emergency Medicine"/>
    <n v="1374"/>
    <n v="0"/>
    <n v="1273"/>
    <n v="101"/>
    <n v="0.9264"/>
    <s v="Paid"/>
    <n v="223294569"/>
    <s v="HE20230919020001"/>
    <s v="HCS"/>
    <s v="E86.0"/>
    <s v="Dehydration"/>
    <n v="0"/>
    <m/>
    <s v="H"/>
    <n v="23"/>
    <m/>
  </r>
  <r>
    <s v="Jails"/>
    <s v="Fort Bend County Jail, TX"/>
    <s v="Fort Bend County Jail   (0131)"/>
    <n v="6190845"/>
    <s v="P00242170"/>
    <d v="1958-03-20T00:00:00"/>
    <m/>
    <s v="TURNER, EARL"/>
    <s v="RICHBEND EMERGENCY PHYSICIANS PLLC"/>
    <n v="920366567"/>
    <n v="29241234"/>
    <d v="2023-08-31T00:00:00"/>
    <d v="2023-08-31T00:00:00"/>
    <n v="1"/>
    <d v="2023-09-28T00:00:00"/>
    <x v="5"/>
    <n v="27"/>
    <d v="2023-08-01T00:00:00"/>
    <d v="2023-12-31T00:00:00"/>
    <n v="99285"/>
    <s v="EMERGENCY DEPT VISIT"/>
    <x v="0"/>
    <s v="Emergency Medicine"/>
    <n v="1374"/>
    <n v="0"/>
    <n v="1273"/>
    <n v="101"/>
    <n v="0.9264"/>
    <s v="Paid"/>
    <n v="223301410"/>
    <s v="HE20230927022002"/>
    <s v="HCS"/>
    <s v="I10"/>
    <s v="Essential (primary) hypertension"/>
    <n v="0"/>
    <m/>
    <s v="H"/>
    <n v="23"/>
    <m/>
  </r>
  <r>
    <s v="Jails"/>
    <s v="Fort Bend County Jail, TX"/>
    <s v="Fort Bend County Jail   (0131)"/>
    <n v="6190845"/>
    <s v="P00242170"/>
    <d v="1958-03-20T00:00:00"/>
    <m/>
    <s v="TURNER, EARL"/>
    <s v="RICHBEND EMERGENCY PHYSICIANS PLLC"/>
    <n v="920366567"/>
    <n v="29241234"/>
    <d v="2023-08-31T00:00:00"/>
    <d v="2023-08-31T00:00:00"/>
    <n v="1"/>
    <d v="2023-09-28T00:00:00"/>
    <x v="5"/>
    <n v="27"/>
    <d v="2023-08-01T00:00:00"/>
    <d v="2023-12-31T00:00:00"/>
    <n v="93010"/>
    <s v="ELECTROCARDIOGRAM REPORT"/>
    <x v="0"/>
    <s v="Emergency Medicine"/>
    <n v="65"/>
    <n v="0"/>
    <n v="58.58"/>
    <n v="6.42"/>
    <n v="0.9012"/>
    <s v="Paid"/>
    <n v="223301410"/>
    <s v="HE20230927022002"/>
    <s v="HCS"/>
    <s v="I10"/>
    <s v="Essential (primary) hypertension"/>
    <n v="0"/>
    <m/>
    <s v="H"/>
    <n v="23"/>
    <m/>
  </r>
  <r>
    <s v="Jails"/>
    <s v="Fort Bend County Jail, TX"/>
    <s v="Fort Bend County Jail   (0131)"/>
    <n v="6599825"/>
    <s v="P00245964"/>
    <d v="1976-01-26T00:00:00"/>
    <m/>
    <s v="WILSON, LEELAND"/>
    <s v="RICHBEND EMERGENCY PHYSICIANS PLLC"/>
    <n v="920366567"/>
    <n v="29174222"/>
    <d v="2023-08-25T00:00:00"/>
    <d v="2023-08-25T00:00:00"/>
    <n v="1"/>
    <d v="2023-10-13T00:00:00"/>
    <x v="2"/>
    <n v="19"/>
    <d v="2023-08-01T00:00:00"/>
    <d v="2023-12-31T00:00:00"/>
    <n v="99285"/>
    <s v="EMERGENCY DEPT VISIT"/>
    <x v="0"/>
    <s v="Emergency Medicine"/>
    <n v="1374"/>
    <n v="0"/>
    <n v="1273"/>
    <n v="101"/>
    <n v="0.9264"/>
    <s v="Paid"/>
    <n v="223318337"/>
    <s v="HE20231010018002"/>
    <s v="HCS"/>
    <s v="G40.901"/>
    <s v="Epilepsy, unspecified, not intractable, with status epilepticus"/>
    <n v="0"/>
    <m/>
    <s v="H"/>
    <n v="23"/>
    <m/>
  </r>
  <r>
    <s v="Jails"/>
    <s v="Fort Bend County Jail, TX"/>
    <s v="Fort Bend County Jail   (0131)"/>
    <n v="6599825"/>
    <s v="P00245964"/>
    <d v="1976-01-26T00:00:00"/>
    <m/>
    <s v="WILSON, LEELAND"/>
    <s v="RICHBEND EMERGENCY PHYSICIANS PLLC"/>
    <n v="920366567"/>
    <n v="29174222"/>
    <d v="2023-08-25T00:00:00"/>
    <d v="2023-08-25T00:00:00"/>
    <n v="1"/>
    <d v="2023-10-25T00:00:00"/>
    <x v="3"/>
    <n v="14"/>
    <d v="2023-08-01T00:00:00"/>
    <d v="2023-12-31T00:00:00"/>
    <n v="99285"/>
    <s v="EMERGENCY DEPT VISIT"/>
    <x v="0"/>
    <s v="Emergency Medicine"/>
    <n v="1374"/>
    <n v="1374"/>
    <n v="0"/>
    <n v="0"/>
    <n v="0"/>
    <s v="Paid"/>
    <n v="223339653"/>
    <s v="HCS120231024256042"/>
    <s v="HCS"/>
    <s v="G40.901"/>
    <s v="Epilepsy, unspecified, not intractable, with status epilepticus"/>
    <n v="0"/>
    <m/>
    <s v="H"/>
    <n v="23"/>
    <m/>
  </r>
  <r>
    <s v="Jails"/>
    <s v="Fort Bend County Jail, TX"/>
    <s v="Fort Bend County Jail   (0131)"/>
    <n v="2116644"/>
    <s v="P00073124"/>
    <d v="1974-12-12T00:00:00"/>
    <m/>
    <s v="ANZALDUA, REBECCA"/>
    <s v="SINGLETON ASSOCIATES PA"/>
    <n v="741680498"/>
    <n v="29428987"/>
    <d v="2023-09-18T00:00:00"/>
    <d v="2023-09-18T00:00:00"/>
    <n v="1"/>
    <d v="2023-10-06T00:00:00"/>
    <x v="5"/>
    <n v="19"/>
    <d v="2023-08-01T00:00:00"/>
    <d v="2023-12-31T00:00:00"/>
    <n v="71045"/>
    <s v="X-RAY EXAM CHEST 1 VIEW"/>
    <x v="0"/>
    <s v="Emergency Medicine"/>
    <n v="139"/>
    <n v="0"/>
    <n v="132.05000000000001"/>
    <n v="6.95"/>
    <n v="0.95"/>
    <s v="Paid"/>
    <n v="223311557"/>
    <s v="HCS120231002284036"/>
    <s v="HCS"/>
    <s v="I95.9"/>
    <s v="Hypotension, unspecified"/>
    <n v="0"/>
    <m/>
    <s v="H"/>
    <n v="23"/>
    <m/>
  </r>
  <r>
    <s v="Jails"/>
    <s v="Fort Bend County Jail, TX"/>
    <s v="Fort Bend County Jail   (0131)"/>
    <n v="2116644"/>
    <s v="P00073124"/>
    <d v="1974-12-12T00:00:00"/>
    <m/>
    <s v="ANZALDUA, REBECCA"/>
    <s v="SINGLETON ASSOCIATES PA"/>
    <n v="741680498"/>
    <n v="29428987"/>
    <d v="2023-09-18T00:00:00"/>
    <d v="2023-09-18T00:00:00"/>
    <n v="1"/>
    <d v="2023-10-06T00:00:00"/>
    <x v="5"/>
    <n v="19"/>
    <d v="2023-08-01T00:00:00"/>
    <d v="2023-12-31T00:00:00"/>
    <n v="71045"/>
    <s v="X-RAY EXAM CHEST 1 VIEW"/>
    <x v="0"/>
    <s v="Emergency Medicine"/>
    <n v="139"/>
    <n v="0"/>
    <n v="132.05000000000001"/>
    <n v="6.95"/>
    <n v="0.95"/>
    <s v="Paid"/>
    <n v="223311558"/>
    <s v="HCS120231002284037"/>
    <s v="HCS"/>
    <s v="I95.9"/>
    <s v="Hypotension, unspecified"/>
    <n v="0"/>
    <m/>
    <s v="H"/>
    <n v="23"/>
    <m/>
  </r>
  <r>
    <s v="Jails"/>
    <s v="Fort Bend County Jail, TX"/>
    <s v="Fort Bend County Jail   (0131)"/>
    <n v="1950651"/>
    <s v="P00134615"/>
    <d v="1988-09-22T00:00:00"/>
    <m/>
    <s v="BROWN, KIMBERLY"/>
    <s v="SINGLETON ASSOCIATES PA"/>
    <n v="741680498"/>
    <n v="28996289"/>
    <d v="2023-08-14T00:00:00"/>
    <d v="2023-08-14T00:00:00"/>
    <n v="1"/>
    <d v="2023-09-27T00:00:00"/>
    <x v="9"/>
    <n v="13"/>
    <d v="2023-08-01T00:00:00"/>
    <d v="2023-12-31T00:00:00"/>
    <n v="76815"/>
    <s v="OB US LIMITED FETUS(S)"/>
    <x v="4"/>
    <s v="Ultrasound (US)"/>
    <n v="376"/>
    <n v="0"/>
    <n v="351.14"/>
    <n v="24.86"/>
    <n v="0.93379999999999996"/>
    <s v="Paid"/>
    <n v="223299502"/>
    <s v="HCS120230926260019"/>
    <s v="HCS"/>
    <s v="Z36.89"/>
    <s v="Encounter for other specified antenatal screening"/>
    <n v="0"/>
    <m/>
    <s v="H"/>
    <n v="22"/>
    <m/>
  </r>
  <r>
    <s v="Jails"/>
    <s v="Fort Bend County Jail, TX"/>
    <s v="Fort Bend County Jail   (0131)"/>
    <n v="4112041"/>
    <s v="P00138695"/>
    <d v="1982-10-29T00:00:00"/>
    <m/>
    <s v="CARDENAS, OSCAR"/>
    <s v="SINGLETON ASSOCIATES PA"/>
    <n v="741680498"/>
    <n v="29914267"/>
    <d v="2023-10-29T00:00:00"/>
    <d v="2023-10-29T00:00:00"/>
    <n v="1"/>
    <d v="2023-11-14T00:00:00"/>
    <x v="8"/>
    <n v="8"/>
    <d v="2023-08-01T00:00:00"/>
    <d v="2023-12-31T00:00:00"/>
    <n v="73110"/>
    <s v="X-RAY EXAM OF WRIST"/>
    <x v="0"/>
    <s v="Emergency Medicine"/>
    <n v="110"/>
    <n v="0"/>
    <n v="103.32"/>
    <n v="6.68"/>
    <n v="0.93920000000000003"/>
    <s v="Paid"/>
    <n v="223371643"/>
    <s v="HCS120231113251040"/>
    <s v="HCS"/>
    <s v="S69.92XA"/>
    <s v="Unspecified injury of left wrist, hand and finger(s), initial encounter"/>
    <n v="0"/>
    <m/>
    <s v="H"/>
    <n v="23"/>
    <m/>
  </r>
  <r>
    <s v="Jails"/>
    <s v="Fort Bend County Jail, TX"/>
    <s v="Fort Bend County Jail   (0131)"/>
    <n v="7212205"/>
    <s v="P00251936"/>
    <d v="1980-10-29T00:00:00"/>
    <m/>
    <s v="ESCOBAR VALENIC, JOSE"/>
    <s v="SINGLETON ASSOCIATES PA"/>
    <n v="741680498"/>
    <n v="29280477"/>
    <d v="2023-09-04T00:00:00"/>
    <d v="2023-09-04T00:00:00"/>
    <n v="1"/>
    <d v="2023-09-19T00:00:00"/>
    <x v="4"/>
    <n v="15"/>
    <d v="2023-08-01T00:00:00"/>
    <d v="2023-12-31T00:00:00"/>
    <n v="71045"/>
    <s v="X-RAY EXAM CHEST 1 VIEW"/>
    <x v="0"/>
    <s v="Emergency Medicine"/>
    <n v="139"/>
    <n v="0"/>
    <n v="132.05000000000001"/>
    <n v="6.95"/>
    <n v="0.95"/>
    <s v="Paid"/>
    <n v="223291020"/>
    <s v="HCS120230918263019"/>
    <s v="HCS"/>
    <s v="R41.82"/>
    <s v="Altered mental status, unspecified"/>
    <n v="0"/>
    <m/>
    <s v="H"/>
    <n v="22"/>
    <m/>
  </r>
  <r>
    <s v="Jails"/>
    <s v="Fort Bend County Jail, TX"/>
    <s v="Fort Bend County Jail   (0131)"/>
    <n v="7212205"/>
    <s v="P00251936"/>
    <d v="1980-10-29T00:00:00"/>
    <m/>
    <s v="ESCOBAR VALENIC, JOSE"/>
    <s v="SINGLETON ASSOCIATES PA"/>
    <n v="741680498"/>
    <n v="29280477"/>
    <d v="2023-09-04T00:00:00"/>
    <d v="2023-09-04T00:00:00"/>
    <n v="1"/>
    <d v="2023-09-19T00:00:00"/>
    <x v="4"/>
    <n v="15"/>
    <d v="2023-08-01T00:00:00"/>
    <d v="2023-12-31T00:00:00"/>
    <n v="70450"/>
    <s v="CT HEAD/BRAIN W/O DYE"/>
    <x v="0"/>
    <s v="Emergency Medicine"/>
    <n v="504"/>
    <n v="0"/>
    <n v="471.92"/>
    <n v="32.08"/>
    <n v="0.93630000000000002"/>
    <s v="Paid"/>
    <n v="223291073"/>
    <s v="HCS120230918263020"/>
    <s v="HCS"/>
    <s v="R41.82"/>
    <s v="Altered mental status, unspecified"/>
    <n v="0"/>
    <m/>
    <s v="H"/>
    <n v="23"/>
    <m/>
  </r>
  <r>
    <s v="Jails"/>
    <s v="Fort Bend County Jail, TX"/>
    <s v="Fort Bend County Jail   (0131)"/>
    <n v="2084895"/>
    <s v="P00178913"/>
    <d v="1963-10-26T00:00:00"/>
    <m/>
    <s v="FRYE, DERRICK"/>
    <s v="SINGLETON ASSOCIATES PA"/>
    <n v="741680498"/>
    <n v="29508388"/>
    <d v="2023-09-23T00:00:00"/>
    <d v="2023-09-23T00:00:00"/>
    <n v="1"/>
    <d v="2023-10-13T00:00:00"/>
    <x v="5"/>
    <n v="12"/>
    <d v="2023-08-01T00:00:00"/>
    <d v="2023-12-31T00:00:00"/>
    <n v="71045"/>
    <s v="X-RAY EXAM CHEST 1 VIEW"/>
    <x v="0"/>
    <s v="Emergency Medicine"/>
    <n v="139"/>
    <n v="0"/>
    <n v="132.05000000000001"/>
    <n v="6.95"/>
    <n v="0.95"/>
    <s v="Paid"/>
    <n v="223318224"/>
    <s v="HCS120231011269041"/>
    <s v="HCS"/>
    <s v="R06.02"/>
    <s v="Shortness of breath"/>
    <n v="0"/>
    <m/>
    <s v="H"/>
    <n v="23"/>
    <m/>
  </r>
  <r>
    <s v="Jails"/>
    <s v="Fort Bend County Jail, TX"/>
    <s v="Fort Bend County Jail   (0131)"/>
    <n v="7255808"/>
    <s v="P00252407"/>
    <d v="1981-06-11T00:00:00"/>
    <m/>
    <s v="HILL, HAROLD"/>
    <s v="SINGLETON ASSOCIATES PA"/>
    <n v="741680498"/>
    <n v="29616920"/>
    <d v="2023-10-03T00:00:00"/>
    <d v="2023-10-03T00:00:00"/>
    <n v="1"/>
    <d v="2023-10-25T00:00:00"/>
    <x v="3"/>
    <n v="14"/>
    <d v="2023-08-01T00:00:00"/>
    <d v="2023-12-31T00:00:00"/>
    <n v="73590"/>
    <s v="X-RAY EXAM OF LOWER LEG"/>
    <x v="0"/>
    <s v="Emergency Medicine"/>
    <n v="110"/>
    <n v="0"/>
    <n v="103.85"/>
    <n v="6.15"/>
    <n v="0.94399999999999995"/>
    <s v="Paid"/>
    <n v="223339065"/>
    <s v="HCS120231023273041"/>
    <s v="HCS"/>
    <s v="M79.604"/>
    <s v="Pain in right leg"/>
    <n v="0"/>
    <m/>
    <s v="H"/>
    <n v="23"/>
    <m/>
  </r>
  <r>
    <s v="Jails"/>
    <s v="Fort Bend County Jail, TX"/>
    <s v="Fort Bend County Jail   (0131)"/>
    <n v="7240124"/>
    <s v="P00252241"/>
    <d v="1990-08-19T00:00:00"/>
    <m/>
    <s v="HILL, TARAH"/>
    <s v="SINGLETON ASSOCIATES PA"/>
    <n v="741680498"/>
    <n v="29566528"/>
    <d v="2023-09-29T00:00:00"/>
    <d v="2023-09-29T00:00:00"/>
    <n v="1"/>
    <d v="2023-10-17T00:00:00"/>
    <x v="2"/>
    <n v="15"/>
    <d v="2023-08-01T00:00:00"/>
    <d v="2023-12-31T00:00:00"/>
    <n v="74176"/>
    <s v="CT ABD &amp; PELVIS W/O CONTRAST"/>
    <x v="0"/>
    <s v="Emergency Medicine"/>
    <n v="1278"/>
    <n v="0"/>
    <n v="1211.98"/>
    <n v="66.02"/>
    <n v="0.94830000000000003"/>
    <s v="Paid"/>
    <n v="223326518"/>
    <s v="HCS120231016261007"/>
    <s v="HCS"/>
    <s v="M54.50"/>
    <m/>
    <n v="0"/>
    <m/>
    <s v="H"/>
    <n v="23"/>
    <m/>
  </r>
  <r>
    <s v="Jails"/>
    <s v="Fort Bend County Jail, TX"/>
    <s v="Fort Bend County Jail   (0131)"/>
    <n v="5859773"/>
    <s v="P00239652"/>
    <d v="2001-11-26T00:00:00"/>
    <m/>
    <s v="JACKSON, ALEXIA"/>
    <s v="SINGLETON ASSOCIATES PA"/>
    <n v="741680498"/>
    <n v="29645065"/>
    <d v="2023-08-25T00:00:00"/>
    <d v="2023-08-25T00:00:00"/>
    <n v="1"/>
    <d v="2023-09-13T00:00:00"/>
    <x v="5"/>
    <n v="42"/>
    <d v="2023-08-01T00:00:00"/>
    <d v="2023-12-31T00:00:00"/>
    <n v="76815"/>
    <s v="OB US LIMITED FETUS(S)"/>
    <x v="0"/>
    <s v="Emergency Medicine"/>
    <n v="376"/>
    <n v="0"/>
    <n v="351.14"/>
    <n v="24.86"/>
    <n v="0.93379999999999996"/>
    <s v="Paid"/>
    <n v="223282758"/>
    <s v="HCS120230911263008"/>
    <s v="HCS"/>
    <s v="O46.93"/>
    <s v="Antepartum hemorrhage, unspecified, third trimester"/>
    <n v="0"/>
    <m/>
    <s v="H"/>
    <n v="22"/>
    <m/>
  </r>
  <r>
    <s v="Jails"/>
    <s v="Fort Bend County Jail, TX"/>
    <s v="Fort Bend County Jail   (0131)"/>
    <n v="4760720"/>
    <s v="P00230508"/>
    <d v="1987-02-22T00:00:00"/>
    <m/>
    <s v="JOHN, TIFFANY"/>
    <s v="SINGLETON ASSOCIATES PA"/>
    <n v="741680498"/>
    <n v="29695997"/>
    <d v="2023-10-13T00:00:00"/>
    <d v="2023-10-13T00:00:00"/>
    <n v="1"/>
    <d v="2023-10-25T00:00:00"/>
    <x v="3"/>
    <n v="14"/>
    <d v="2023-08-01T00:00:00"/>
    <d v="2023-12-31T00:00:00"/>
    <n v="71045"/>
    <s v="X-RAY EXAM CHEST 1 VIEW"/>
    <x v="0"/>
    <s v="Emergency Medicine"/>
    <n v="139"/>
    <n v="0"/>
    <n v="132.05000000000001"/>
    <n v="6.95"/>
    <n v="0.95"/>
    <s v="Paid"/>
    <n v="223338960"/>
    <s v="HCS120231023255018"/>
    <s v="HCS"/>
    <s v="U07.1"/>
    <m/>
    <n v="0"/>
    <m/>
    <s v="H"/>
    <n v="21"/>
    <m/>
  </r>
  <r>
    <s v="Jails"/>
    <s v="Fort Bend County Jail, TX"/>
    <s v="Fort Bend County Jail   (0131)"/>
    <n v="4760720"/>
    <s v="P00230508"/>
    <d v="1987-02-22T00:00:00"/>
    <m/>
    <s v="JOHN, TIFFANY"/>
    <s v="SINGLETON ASSOCIATES PA"/>
    <n v="741680498"/>
    <n v="29695997"/>
    <d v="2023-10-11T00:00:00"/>
    <d v="2023-10-11T00:00:00"/>
    <n v="1"/>
    <d v="2023-10-31T00:00:00"/>
    <x v="0"/>
    <n v="15"/>
    <d v="2023-08-01T00:00:00"/>
    <d v="2023-12-31T00:00:00"/>
    <n v="71045"/>
    <s v="X-RAY EXAM CHEST 1 VIEW"/>
    <x v="0"/>
    <s v="Emergency Medicine"/>
    <n v="139"/>
    <n v="0"/>
    <n v="132.05000000000001"/>
    <n v="6.95"/>
    <n v="0.95"/>
    <s v="Paid"/>
    <n v="223348673"/>
    <s v="HCS120231030280010"/>
    <s v="HCS"/>
    <s v="B99.9"/>
    <s v="Unspecified infectious disease"/>
    <n v="0"/>
    <m/>
    <s v="H"/>
    <n v="23"/>
    <m/>
  </r>
  <r>
    <s v="Jails"/>
    <s v="Fort Bend County Jail, TX"/>
    <s v="Fort Bend County Jail   (0131)"/>
    <n v="4760720"/>
    <s v="P00230508"/>
    <d v="1987-02-22T00:00:00"/>
    <m/>
    <s v="JOHN, TIFFANY"/>
    <s v="SINGLETON ASSOCIATES PA"/>
    <n v="741680498"/>
    <n v="29695997"/>
    <d v="2023-10-11T00:00:00"/>
    <d v="2023-10-11T00:00:00"/>
    <n v="1"/>
    <d v="2023-10-31T00:00:00"/>
    <x v="0"/>
    <n v="15"/>
    <d v="2023-08-01T00:00:00"/>
    <d v="2023-12-31T00:00:00"/>
    <n v="71045"/>
    <s v="X-RAY EXAM CHEST 1 VIEW"/>
    <x v="0"/>
    <s v="Emergency Medicine"/>
    <n v="139"/>
    <n v="0"/>
    <n v="132.05000000000001"/>
    <n v="6.95"/>
    <n v="0.95"/>
    <s v="Paid"/>
    <n v="223348710"/>
    <s v="HCS120231030280011"/>
    <s v="HCS"/>
    <s v="R91.8"/>
    <s v="Other nonspecific abnormal finding of lung field"/>
    <n v="0"/>
    <m/>
    <s v="H"/>
    <n v="22"/>
    <m/>
  </r>
  <r>
    <s v="Jails"/>
    <s v="Fort Bend County Jail, TX"/>
    <s v="Fort Bend County Jail   (0131)"/>
    <n v="4760720"/>
    <s v="P00230508"/>
    <d v="1987-02-22T00:00:00"/>
    <m/>
    <s v="JOHN, TIFFANY"/>
    <s v="SINGLETON ASSOCIATES PA"/>
    <n v="741680498"/>
    <n v="29695997"/>
    <d v="2023-10-14T00:00:00"/>
    <d v="2023-10-14T00:00:00"/>
    <n v="1"/>
    <d v="2023-10-31T00:00:00"/>
    <x v="3"/>
    <n v="8"/>
    <d v="2023-08-01T00:00:00"/>
    <d v="2023-12-31T00:00:00"/>
    <n v="78226"/>
    <s v="HEPATOBILIARY SYSTEM IMAGING"/>
    <x v="0"/>
    <s v="Emergency Medicine"/>
    <n v="526"/>
    <n v="0"/>
    <n v="498.47"/>
    <n v="27.53"/>
    <n v="0.9476"/>
    <s v="Paid"/>
    <n v="223349041"/>
    <s v="HCS120231030250030"/>
    <s v="HCS"/>
    <s v="A41.9"/>
    <s v="Sepsis, unspecified organism"/>
    <n v="0"/>
    <m/>
    <s v="H"/>
    <n v="21"/>
    <m/>
  </r>
  <r>
    <s v="Jails"/>
    <s v="Fort Bend County Jail, TX"/>
    <s v="Fort Bend County Jail   (0131)"/>
    <n v="4760720"/>
    <s v="P00230508"/>
    <d v="1987-02-22T00:00:00"/>
    <m/>
    <s v="JOHN, TIFFANY"/>
    <s v="SINGLETON ASSOCIATES PA"/>
    <n v="741680498"/>
    <n v="29695997"/>
    <d v="2023-10-16T00:00:00"/>
    <d v="2023-10-16T00:00:00"/>
    <n v="1"/>
    <d v="2023-10-31T00:00:00"/>
    <x v="3"/>
    <n v="8"/>
    <d v="2023-08-01T00:00:00"/>
    <d v="2023-12-31T00:00:00"/>
    <n v="71045"/>
    <s v="X-RAY EXAM CHEST 1 VIEW"/>
    <x v="0"/>
    <s v="Emergency Medicine"/>
    <n v="139"/>
    <n v="0"/>
    <n v="132.05000000000001"/>
    <n v="6.95"/>
    <n v="0.95"/>
    <s v="Paid"/>
    <n v="223349044"/>
    <s v="HCS120231030250032"/>
    <s v="HCS"/>
    <s v="I46.9"/>
    <s v="Cardiac arrest, cause unspecified"/>
    <n v="0"/>
    <m/>
    <s v="H"/>
    <n v="21"/>
    <m/>
  </r>
  <r>
    <s v="Jails"/>
    <s v="Fort Bend County Jail, TX"/>
    <s v="Fort Bend County Jail   (0131)"/>
    <n v="4760720"/>
    <s v="P00230508"/>
    <d v="1987-02-22T00:00:00"/>
    <m/>
    <s v="JOHN, TIFFANY"/>
    <s v="SINGLETON ASSOCIATES PA"/>
    <n v="741680498"/>
    <n v="29695997"/>
    <d v="2023-10-16T00:00:00"/>
    <d v="2023-10-16T00:00:00"/>
    <n v="1"/>
    <d v="2023-10-31T00:00:00"/>
    <x v="3"/>
    <n v="8"/>
    <d v="2023-08-01T00:00:00"/>
    <d v="2023-12-31T00:00:00"/>
    <n v="71045"/>
    <s v="X-RAY EXAM CHEST 1 VIEW"/>
    <x v="0"/>
    <s v="Emergency Medicine"/>
    <n v="139"/>
    <n v="0"/>
    <n v="132.05000000000001"/>
    <n v="6.95"/>
    <n v="0.95"/>
    <s v="Paid"/>
    <n v="223349046"/>
    <s v="HCS120231030250033"/>
    <s v="HCS"/>
    <s v="Z99.11"/>
    <s v="Dependence on respirator [ventilator] status"/>
    <n v="0"/>
    <m/>
    <s v="H"/>
    <n v="21"/>
    <m/>
  </r>
  <r>
    <s v="Jails"/>
    <s v="Fort Bend County Jail, TX"/>
    <s v="Fort Bend County Jail   (0131)"/>
    <n v="4760720"/>
    <s v="P00230508"/>
    <d v="1987-02-22T00:00:00"/>
    <m/>
    <s v="JOHN, TIFFANY"/>
    <s v="SINGLETON ASSOCIATES PA"/>
    <n v="741680498"/>
    <n v="29695997"/>
    <d v="2023-10-11T00:00:00"/>
    <d v="2023-10-11T00:00:00"/>
    <n v="1"/>
    <d v="2023-10-31T00:00:00"/>
    <x v="0"/>
    <n v="15"/>
    <d v="2023-08-01T00:00:00"/>
    <d v="2023-12-31T00:00:00"/>
    <n v="74176"/>
    <s v="CT ABD &amp; PELVIS W/O CONTRAST"/>
    <x v="0"/>
    <s v="Emergency Medicine"/>
    <n v="1278"/>
    <n v="0"/>
    <n v="1211.98"/>
    <n v="66.02"/>
    <n v="0.94830000000000003"/>
    <s v="Paid"/>
    <n v="223349048"/>
    <s v="HCS120231030280009"/>
    <s v="HCS"/>
    <s v="K80.20"/>
    <s v="Calculus of gallbladder without cholecystitis without obstruction"/>
    <n v="0"/>
    <m/>
    <s v="H"/>
    <n v="21"/>
    <m/>
  </r>
  <r>
    <s v="Jails"/>
    <s v="Fort Bend County Jail, TX"/>
    <s v="Fort Bend County Jail   (0131)"/>
    <n v="4760720"/>
    <s v="P00230508"/>
    <d v="1987-02-22T00:00:00"/>
    <m/>
    <s v="JOHN, TIFFANY"/>
    <s v="SINGLETON ASSOCIATES PA"/>
    <n v="741680498"/>
    <n v="29695997"/>
    <d v="2023-10-12T00:00:00"/>
    <d v="2023-10-12T00:00:00"/>
    <n v="1"/>
    <d v="2023-10-31T00:00:00"/>
    <x v="0"/>
    <n v="15"/>
    <d v="2023-08-01T00:00:00"/>
    <d v="2023-12-31T00:00:00"/>
    <n v="74177"/>
    <s v="CT ABD &amp; PELV W/CONTRAST"/>
    <x v="0"/>
    <s v="Emergency Medicine"/>
    <n v="1337"/>
    <n v="0"/>
    <n v="1268.04"/>
    <n v="68.959999999999994"/>
    <n v="0.94840000000000002"/>
    <s v="Paid"/>
    <n v="223349048"/>
    <s v="HCS120231030280009"/>
    <s v="HCS"/>
    <s v="K80.20"/>
    <s v="Calculus of gallbladder without cholecystitis without obstruction"/>
    <n v="0"/>
    <m/>
    <s v="H"/>
    <n v="21"/>
    <m/>
  </r>
  <r>
    <s v="Jails"/>
    <s v="Fort Bend County Jail, TX"/>
    <s v="Fort Bend County Jail   (0131)"/>
    <n v="4760720"/>
    <s v="P00230508"/>
    <d v="1987-02-22T00:00:00"/>
    <m/>
    <s v="JOHN, TIFFANY"/>
    <s v="SINGLETON ASSOCIATES PA"/>
    <n v="741680498"/>
    <n v="29695997"/>
    <d v="2023-10-12T00:00:00"/>
    <d v="2023-10-12T00:00:00"/>
    <n v="1"/>
    <d v="2023-10-31T00:00:00"/>
    <x v="3"/>
    <n v="8"/>
    <d v="2023-08-01T00:00:00"/>
    <d v="2023-12-31T00:00:00"/>
    <n v="70450"/>
    <s v="CT HEAD/BRAIN W/O DYE"/>
    <x v="0"/>
    <s v="Emergency Medicine"/>
    <n v="504"/>
    <n v="0"/>
    <n v="471.92"/>
    <n v="32.08"/>
    <n v="0.93630000000000002"/>
    <s v="Paid"/>
    <n v="223349049"/>
    <s v="HCS120231030280008"/>
    <s v="HCS"/>
    <s v="A41.9"/>
    <s v="Sepsis, unspecified organism"/>
    <n v="0"/>
    <m/>
    <s v="H"/>
    <n v="21"/>
    <m/>
  </r>
  <r>
    <s v="Jails"/>
    <s v="Fort Bend County Jail, TX"/>
    <s v="Fort Bend County Jail   (0131)"/>
    <n v="4760720"/>
    <s v="P00230508"/>
    <d v="1987-02-22T00:00:00"/>
    <m/>
    <s v="JOHN, TIFFANY"/>
    <s v="SINGLETON ASSOCIATES PA"/>
    <n v="741680498"/>
    <n v="29695997"/>
    <d v="2023-10-14T00:00:00"/>
    <d v="2023-10-14T00:00:00"/>
    <n v="1"/>
    <d v="2023-10-31T00:00:00"/>
    <x v="3"/>
    <n v="8"/>
    <d v="2023-08-01T00:00:00"/>
    <d v="2023-12-31T00:00:00"/>
    <n v="71045"/>
    <s v="X-RAY EXAM CHEST 1 VIEW"/>
    <x v="0"/>
    <s v="Emergency Medicine"/>
    <n v="139"/>
    <n v="0"/>
    <n v="132.05000000000001"/>
    <n v="6.95"/>
    <n v="0.95"/>
    <s v="Paid"/>
    <n v="223349051"/>
    <s v="HCS120231030280007"/>
    <s v="HCS"/>
    <s v="A41.9"/>
    <s v="Sepsis, unspecified organism"/>
    <n v="0"/>
    <m/>
    <s v="H"/>
    <n v="21"/>
    <m/>
  </r>
  <r>
    <s v="Jails"/>
    <s v="Fort Bend County Jail, TX"/>
    <s v="Fort Bend County Jail   (0131)"/>
    <n v="4760720"/>
    <s v="P00230508"/>
    <d v="1987-02-22T00:00:00"/>
    <m/>
    <s v="JOHN, TIFFANY"/>
    <s v="SINGLETON ASSOCIATES PA"/>
    <n v="741680498"/>
    <n v="29695997"/>
    <d v="2023-10-15T00:00:00"/>
    <d v="2023-10-15T00:00:00"/>
    <n v="1"/>
    <d v="2023-11-01T00:00:00"/>
    <x v="0"/>
    <n v="14"/>
    <d v="2023-08-01T00:00:00"/>
    <d v="2023-12-31T00:00:00"/>
    <n v="71045"/>
    <s v="X-RAY EXAM CHEST 1 VIEW"/>
    <x v="0"/>
    <s v="Emergency Medicine"/>
    <n v="139"/>
    <n v="0"/>
    <n v="132.05000000000001"/>
    <n v="6.95"/>
    <n v="0.95"/>
    <s v="Paid"/>
    <n v="223351147"/>
    <s v="HCS120231031261025"/>
    <s v="HCS"/>
    <s v="Z99.11"/>
    <s v="Dependence on respirator [ventilator] status"/>
    <n v="0"/>
    <m/>
    <s v="H"/>
    <n v="21"/>
    <m/>
  </r>
  <r>
    <s v="Jails"/>
    <s v="Fort Bend County Jail, TX"/>
    <s v="Fort Bend County Jail   (0131)"/>
    <n v="4760720"/>
    <s v="P00230508"/>
    <d v="1987-02-22T00:00:00"/>
    <m/>
    <s v="JOHN, TIFFANY"/>
    <s v="SINGLETON ASSOCIATES PA"/>
    <n v="741680498"/>
    <n v="29695997"/>
    <d v="2023-10-15T00:00:00"/>
    <d v="2023-10-15T00:00:00"/>
    <n v="1"/>
    <d v="2023-11-01T00:00:00"/>
    <x v="0"/>
    <n v="14"/>
    <d v="2023-08-01T00:00:00"/>
    <d v="2023-12-31T00:00:00"/>
    <n v="78227"/>
    <s v="HEPATOBIL SYST IMAGE W/DRUG"/>
    <x v="0"/>
    <s v="Emergency Medicine"/>
    <n v="622"/>
    <n v="0"/>
    <n v="588.59"/>
    <n v="33.409999999999997"/>
    <n v="0.94620000000000004"/>
    <s v="Paid"/>
    <n v="223351149"/>
    <s v="HCS120231031261026"/>
    <s v="HCS"/>
    <s v="A41.9"/>
    <s v="Sepsis, unspecified organism"/>
    <n v="0"/>
    <m/>
    <s v="H"/>
    <n v="21"/>
    <m/>
  </r>
  <r>
    <s v="Jails"/>
    <s v="Fort Bend County Jail, TX"/>
    <s v="Fort Bend County Jail   (0131)"/>
    <n v="7011849"/>
    <s v="P00249901"/>
    <d v="2004-08-27T00:00:00"/>
    <m/>
    <s v="JUAREZ-SOLIS, EVER"/>
    <s v="SINGLETON ASSOCIATES PA"/>
    <n v="741680498"/>
    <n v="29640788"/>
    <d v="2023-08-20T00:00:00"/>
    <d v="2023-08-20T00:00:00"/>
    <n v="1"/>
    <d v="2023-09-13T00:00:00"/>
    <x v="5"/>
    <n v="42"/>
    <d v="2023-08-01T00:00:00"/>
    <d v="2023-12-31T00:00:00"/>
    <n v="72125"/>
    <s v="CT NECK SPINE W/O DYE"/>
    <x v="0"/>
    <s v="Emergency Medicine"/>
    <n v="625"/>
    <n v="0"/>
    <n v="585.42999999999995"/>
    <n v="39.57"/>
    <n v="0.93659999999999999"/>
    <s v="Paid"/>
    <n v="223282735"/>
    <s v="HCS120230911269034"/>
    <s v="HCS"/>
    <s v="R42"/>
    <s v="Dizziness and giddiness"/>
    <n v="0"/>
    <m/>
    <s v="H"/>
    <n v="22"/>
    <m/>
  </r>
  <r>
    <s v="Jails"/>
    <s v="Fort Bend County Jail, TX"/>
    <s v="Fort Bend County Jail   (0131)"/>
    <n v="7011849"/>
    <s v="P00249901"/>
    <d v="2004-08-27T00:00:00"/>
    <m/>
    <s v="JUAREZ-SOLIS, EVER"/>
    <s v="SINGLETON ASSOCIATES PA"/>
    <n v="741680498"/>
    <n v="29640788"/>
    <d v="2023-08-20T00:00:00"/>
    <d v="2023-08-20T00:00:00"/>
    <n v="1"/>
    <d v="2023-09-13T00:00:00"/>
    <x v="5"/>
    <n v="42"/>
    <d v="2023-08-01T00:00:00"/>
    <d v="2023-12-31T00:00:00"/>
    <n v="70450"/>
    <s v="CT HEAD/BRAIN W/O DYE"/>
    <x v="0"/>
    <s v="Emergency Medicine"/>
    <n v="504"/>
    <n v="0"/>
    <n v="470.32"/>
    <n v="33.68"/>
    <n v="0.93310000000000004"/>
    <s v="Paid"/>
    <n v="223282735"/>
    <s v="HCS120230911269034"/>
    <s v="HCS"/>
    <s v="R42"/>
    <s v="Dizziness and giddiness"/>
    <n v="0"/>
    <m/>
    <s v="H"/>
    <n v="22"/>
    <m/>
  </r>
  <r>
    <s v="Jails"/>
    <s v="Fort Bend County Jail, TX"/>
    <s v="Fort Bend County Jail   (0131)"/>
    <n v="7011849"/>
    <s v="P00249901"/>
    <d v="2004-08-27T00:00:00"/>
    <m/>
    <s v="JUAREZ-SOLIS, EVER"/>
    <s v="SINGLETON ASSOCIATES PA"/>
    <n v="741680498"/>
    <n v="29640788"/>
    <d v="2023-08-20T00:00:00"/>
    <d v="2023-08-20T00:00:00"/>
    <n v="1"/>
    <d v="2023-09-13T00:00:00"/>
    <x v="5"/>
    <n v="42"/>
    <d v="2023-08-01T00:00:00"/>
    <d v="2023-12-31T00:00:00"/>
    <n v="71045"/>
    <s v="X-RAY EXAM CHEST 1 VIEW"/>
    <x v="0"/>
    <s v="Emergency Medicine"/>
    <n v="139"/>
    <n v="0"/>
    <n v="131.69999999999999"/>
    <n v="7.3"/>
    <n v="0.94740000000000002"/>
    <s v="Paid"/>
    <n v="223282738"/>
    <s v="HCS120230911269028"/>
    <s v="HCS"/>
    <s v="R42"/>
    <s v="Dizziness and giddiness"/>
    <n v="0"/>
    <m/>
    <s v="H"/>
    <n v="23"/>
    <m/>
  </r>
  <r>
    <s v="Jails"/>
    <s v="Fort Bend County Jail, TX"/>
    <s v="Fort Bend County Jail   (0131)"/>
    <n v="7310906"/>
    <s v="P00253019"/>
    <d v="1987-09-15T00:00:00"/>
    <m/>
    <s v="KHAWAJA, HOSNAIN"/>
    <s v="SINGLETON ASSOCIATES PA"/>
    <n v="741680498"/>
    <n v="30073682"/>
    <d v="2023-11-10T00:00:00"/>
    <d v="2023-11-10T00:00:00"/>
    <n v="1"/>
    <d v="2023-11-28T00:00:00"/>
    <x v="7"/>
    <n v="8"/>
    <d v="2023-08-01T00:00:00"/>
    <d v="2023-12-31T00:00:00"/>
    <n v="70498"/>
    <s v="CT ANGIOGRAPHY NECK"/>
    <x v="0"/>
    <s v="Emergency Medicine"/>
    <n v="1228"/>
    <n v="0"/>
    <n v="1161.71"/>
    <n v="66.290000000000006"/>
    <n v="0.94599999999999995"/>
    <s v="Paid"/>
    <n v="223391595"/>
    <s v="HCS120231127275006"/>
    <s v="HCS"/>
    <s v="S19.9XXA"/>
    <s v="Unspecified injury of neck, initial encounter"/>
    <n v="0"/>
    <m/>
    <s v="H"/>
    <n v="22"/>
    <m/>
  </r>
  <r>
    <s v="Jails"/>
    <s v="Fort Bend County Jail, TX"/>
    <s v="Fort Bend County Jail   (0131)"/>
    <n v="7310906"/>
    <s v="P00253019"/>
    <d v="1987-09-15T00:00:00"/>
    <m/>
    <s v="KHAWAJA, HOSNAIN"/>
    <s v="SINGLETON ASSOCIATES PA"/>
    <n v="741680498"/>
    <n v="30073682"/>
    <d v="2023-11-10T00:00:00"/>
    <d v="2023-11-10T00:00:00"/>
    <n v="1"/>
    <d v="2023-11-28T00:00:00"/>
    <x v="7"/>
    <n v="8"/>
    <d v="2023-08-01T00:00:00"/>
    <d v="2023-12-31T00:00:00"/>
    <n v="73030"/>
    <s v="X-RAY EXAM OF SHOULDER"/>
    <x v="0"/>
    <s v="Emergency Medicine"/>
    <n v="133"/>
    <n v="0"/>
    <n v="125.78"/>
    <n v="7.22"/>
    <n v="0.94569999999999999"/>
    <s v="Paid"/>
    <n v="223391610"/>
    <s v="HCS120231127275007"/>
    <s v="HCS"/>
    <s v="S49.91XA"/>
    <s v="Unspecified injury of right shoulder and upper arm, initial encounter"/>
    <n v="0"/>
    <m/>
    <s v="H"/>
    <n v="23"/>
    <m/>
  </r>
  <r>
    <s v="Jails"/>
    <s v="Fort Bend County Jail, TX"/>
    <s v="Fort Bend County Jail   (0131)"/>
    <n v="7310906"/>
    <s v="P00253019"/>
    <d v="1987-09-15T00:00:00"/>
    <m/>
    <s v="KHAWAJA, HOSNAIN"/>
    <s v="SINGLETON ASSOCIATES PA"/>
    <n v="741680498"/>
    <n v="30073682"/>
    <d v="2023-11-10T00:00:00"/>
    <d v="2023-11-10T00:00:00"/>
    <n v="1"/>
    <d v="2023-11-28T00:00:00"/>
    <x v="7"/>
    <n v="8"/>
    <d v="2023-08-01T00:00:00"/>
    <d v="2023-12-31T00:00:00"/>
    <n v="70450"/>
    <s v="CT HEAD/BRAIN W/O DYE"/>
    <x v="0"/>
    <s v="Emergency Medicine"/>
    <n v="504"/>
    <n v="0"/>
    <n v="471.92"/>
    <n v="32.08"/>
    <n v="0.93630000000000002"/>
    <s v="Paid"/>
    <n v="223391629"/>
    <s v="HCS120231127275008"/>
    <s v="HCS"/>
    <s v="S49.92XA"/>
    <s v="Unspecified injury of left shoulder and upper arm, initial encounter"/>
    <n v="0"/>
    <m/>
    <s v="H"/>
    <n v="22"/>
    <m/>
  </r>
  <r>
    <s v="Jails"/>
    <s v="Fort Bend County Jail, TX"/>
    <s v="Fort Bend County Jail   (0131)"/>
    <n v="7310906"/>
    <s v="P00253019"/>
    <d v="1987-09-15T00:00:00"/>
    <m/>
    <s v="KHAWAJA, HOSNAIN"/>
    <s v="SINGLETON ASSOCIATES PA"/>
    <n v="741680498"/>
    <n v="30073682"/>
    <d v="2023-11-10T00:00:00"/>
    <d v="2023-11-10T00:00:00"/>
    <n v="1"/>
    <d v="2023-11-28T00:00:00"/>
    <x v="7"/>
    <n v="8"/>
    <d v="2023-08-01T00:00:00"/>
    <d v="2023-12-31T00:00:00"/>
    <n v="73030"/>
    <s v="X-RAY EXAM OF SHOULDER"/>
    <x v="0"/>
    <s v="Emergency Medicine"/>
    <n v="133"/>
    <n v="0"/>
    <n v="125.78"/>
    <n v="7.22"/>
    <n v="0.94569999999999999"/>
    <s v="Paid"/>
    <n v="223391629"/>
    <s v="HCS120231127275008"/>
    <s v="HCS"/>
    <s v="S49.92XA"/>
    <s v="Unspecified injury of left shoulder and upper arm, initial encounter"/>
    <n v="0"/>
    <m/>
    <s v="H"/>
    <n v="22"/>
    <m/>
  </r>
  <r>
    <s v="Jails"/>
    <s v="Fort Bend County Jail, TX"/>
    <s v="Fort Bend County Jail   (0131)"/>
    <n v="6632521"/>
    <s v="P00128074"/>
    <d v="1986-02-13T00:00:00"/>
    <m/>
    <s v="MARTINEZ, ANTHONY"/>
    <s v="SINGLETON ASSOCIATES PA"/>
    <n v="741680498"/>
    <n v="28987420"/>
    <d v="2023-08-07T00:00:00"/>
    <d v="2023-08-07T00:00:00"/>
    <n v="1"/>
    <d v="2023-09-13T00:00:00"/>
    <x v="4"/>
    <n v="21"/>
    <d v="2023-08-01T00:00:00"/>
    <d v="2023-12-31T00:00:00"/>
    <n v="71046"/>
    <s v="X-RAY EXAM CHEST 2 VIEWS"/>
    <x v="0"/>
    <s v="Emergency Medicine"/>
    <n v="162"/>
    <n v="0"/>
    <n v="153.71"/>
    <n v="8.2899999999999991"/>
    <n v="0.94879999999999998"/>
    <s v="Paid"/>
    <n v="223282702"/>
    <s v="HCS120230911269033"/>
    <s v="HCS"/>
    <s v="T50.901A"/>
    <s v="Poisoning by unspecified drugs, medicaments and biological substances, accidental (unintentional), initial encounter"/>
    <n v="0"/>
    <m/>
    <s v="H"/>
    <n v="23"/>
    <m/>
  </r>
  <r>
    <s v="Jails"/>
    <s v="Fort Bend County Jail, TX"/>
    <s v="Fort Bend County Jail   (0131)"/>
    <n v="6632521"/>
    <s v="P00128074"/>
    <d v="1986-02-13T00:00:00"/>
    <m/>
    <s v="MARTINEZ, ANTHONY"/>
    <s v="SINGLETON ASSOCIATES PA"/>
    <n v="741680498"/>
    <n v="28987420"/>
    <d v="2023-08-07T00:00:00"/>
    <d v="2023-08-07T00:00:00"/>
    <n v="1"/>
    <d v="2023-09-13T00:00:00"/>
    <x v="4"/>
    <n v="21"/>
    <d v="2023-08-01T00:00:00"/>
    <d v="2023-12-31T00:00:00"/>
    <n v="71260"/>
    <s v="CT THORAX W/DYE"/>
    <x v="0"/>
    <s v="Emergency Medicine"/>
    <n v="705"/>
    <n v="0"/>
    <n v="641.12"/>
    <n v="63.88"/>
    <n v="0.9093"/>
    <s v="Paid"/>
    <n v="223282747"/>
    <s v="HCS120230911269036"/>
    <s v="HCS"/>
    <s v="R07.9"/>
    <s v="Chest pain, unspecified"/>
    <n v="0"/>
    <m/>
    <s v="H"/>
    <n v="22"/>
    <m/>
  </r>
  <r>
    <s v="Jails"/>
    <s v="Fort Bend County Jail, TX"/>
    <s v="Fort Bend County Jail   (0131)"/>
    <n v="6829287"/>
    <s v="P00248211"/>
    <d v="1970-03-07T00:00:00"/>
    <m/>
    <s v="MATLOCK, KARA"/>
    <s v="SINGLETON ASSOCIATES PA"/>
    <n v="741680498"/>
    <n v="28963579"/>
    <d v="2023-08-07T00:00:00"/>
    <d v="2023-08-07T00:00:00"/>
    <n v="1"/>
    <d v="2023-09-13T00:00:00"/>
    <x v="4"/>
    <n v="21"/>
    <d v="2023-08-01T00:00:00"/>
    <d v="2023-12-31T00:00:00"/>
    <n v="76830"/>
    <s v="TRANSVAGINAL US NON-OB"/>
    <x v="4"/>
    <s v="Ultrasound (US)"/>
    <n v="414"/>
    <n v="0"/>
    <n v="387.8"/>
    <n v="26.2"/>
    <n v="0.93669999999999998"/>
    <s v="Paid"/>
    <n v="223282656"/>
    <s v="HCS120230911263009"/>
    <s v="HCS"/>
    <s v="N83.291"/>
    <s v="Other ovarian cyst, right side"/>
    <n v="0"/>
    <m/>
    <s v="H"/>
    <n v="22"/>
    <m/>
  </r>
  <r>
    <s v="Jails"/>
    <s v="Fort Bend County Jail, TX"/>
    <s v="Fort Bend County Jail   (0131)"/>
    <n v="7265281"/>
    <s v="P00252505"/>
    <d v="1979-04-19T00:00:00"/>
    <m/>
    <s v="MAY, DANIEL"/>
    <s v="SINGLETON ASSOCIATES PA"/>
    <n v="741680498"/>
    <n v="29689757"/>
    <d v="2023-10-10T00:00:00"/>
    <d v="2023-10-10T00:00:00"/>
    <n v="1"/>
    <d v="2023-10-27T00:00:00"/>
    <x v="3"/>
    <n v="12"/>
    <d v="2023-08-01T00:00:00"/>
    <d v="2023-12-31T00:00:00"/>
    <n v="76870"/>
    <s v="US EXAM SCROTUM"/>
    <x v="0"/>
    <s v="Emergency Medicine"/>
    <n v="382"/>
    <n v="0"/>
    <n v="357.68"/>
    <n v="24.32"/>
    <n v="0.93630000000000002"/>
    <s v="Paid"/>
    <n v="223345049"/>
    <s v="HCS120231023253039"/>
    <s v="HCS"/>
    <s v="N50.9"/>
    <s v="Disorder of male genital organs, unspecified"/>
    <n v="0"/>
    <m/>
    <s v="H"/>
    <n v="22"/>
    <m/>
  </r>
  <r>
    <s v="Jails"/>
    <s v="Fort Bend County Jail, TX"/>
    <s v="Fort Bend County Jail   (0131)"/>
    <n v="7159132"/>
    <s v="P94002264"/>
    <d v="1950-10-10T00:00:00"/>
    <m/>
    <s v="NORA, HELEN"/>
    <s v="SINGLETON ASSOCIATES PA"/>
    <n v="741680498"/>
    <n v="29042551"/>
    <d v="2023-08-14T00:00:00"/>
    <d v="2023-08-14T00:00:00"/>
    <n v="1"/>
    <d v="2023-09-13T00:00:00"/>
    <x v="4"/>
    <n v="21"/>
    <d v="2023-08-01T00:00:00"/>
    <d v="2023-12-31T00:00:00"/>
    <n v="71045"/>
    <s v="X-RAY EXAM CHEST 1 VIEW"/>
    <x v="0"/>
    <s v="Emergency Medicine"/>
    <n v="139"/>
    <n v="0"/>
    <n v="132.05000000000001"/>
    <n v="6.95"/>
    <n v="0.95"/>
    <s v="Paid"/>
    <n v="223282669"/>
    <s v="HCS120230911269037"/>
    <s v="HCS"/>
    <s v="J98.11"/>
    <s v="Atelectasis"/>
    <n v="0"/>
    <m/>
    <s v="H"/>
    <n v="22"/>
    <m/>
  </r>
  <r>
    <s v="Jails"/>
    <s v="Fort Bend County Jail, TX"/>
    <s v="Fort Bend County Jail   (0131)"/>
    <n v="7159132"/>
    <s v="P94002264"/>
    <d v="1950-10-10T00:00:00"/>
    <m/>
    <s v="NORA, HELEN"/>
    <s v="SINGLETON ASSOCIATES PA"/>
    <n v="741680498"/>
    <n v="29042551"/>
    <d v="2023-08-14T00:00:00"/>
    <d v="2023-08-14T00:00:00"/>
    <n v="1"/>
    <d v="2023-09-13T00:00:00"/>
    <x v="4"/>
    <n v="21"/>
    <d v="2023-08-01T00:00:00"/>
    <d v="2023-12-31T00:00:00"/>
    <n v="71250"/>
    <s v="CT THORAX W/O DYE"/>
    <x v="0"/>
    <s v="Emergency Medicine"/>
    <n v="633"/>
    <n v="0"/>
    <n v="573.09"/>
    <n v="59.91"/>
    <n v="0.90529999999999999"/>
    <s v="Paid"/>
    <n v="223282687"/>
    <s v="HCS120230911269027"/>
    <s v="HCS"/>
    <s v="R09.02"/>
    <s v="Hypoxemia"/>
    <n v="0"/>
    <m/>
    <s v="H"/>
    <n v="23"/>
    <m/>
  </r>
  <r>
    <s v="Jails"/>
    <s v="Fort Bend County Jail, TX"/>
    <s v="Fort Bend County Jail   (0131)"/>
    <n v="7159132"/>
    <s v="P94002264"/>
    <d v="1950-10-10T00:00:00"/>
    <m/>
    <s v="NORA, HELEN"/>
    <s v="SINGLETON ASSOCIATES PA"/>
    <n v="741680498"/>
    <n v="29042551"/>
    <d v="2023-08-14T00:00:00"/>
    <d v="2023-08-14T00:00:00"/>
    <n v="1"/>
    <d v="2023-09-13T00:00:00"/>
    <x v="4"/>
    <n v="21"/>
    <d v="2023-08-01T00:00:00"/>
    <d v="2023-12-31T00:00:00"/>
    <n v="70450"/>
    <s v="CT HEAD/BRAIN W/O DYE"/>
    <x v="0"/>
    <s v="Emergency Medicine"/>
    <n v="504"/>
    <n v="0"/>
    <n v="471.92"/>
    <n v="32.08"/>
    <n v="0.93630000000000002"/>
    <s v="Paid"/>
    <n v="223282695"/>
    <s v="HCS120230911269040"/>
    <s v="HCS"/>
    <s v="R56.9"/>
    <s v="Unspecified convulsions"/>
    <n v="0"/>
    <m/>
    <s v="H"/>
    <n v="22"/>
    <m/>
  </r>
  <r>
    <s v="Jails"/>
    <s v="Fort Bend County Jail, TX"/>
    <s v="Fort Bend County Jail   (0131)"/>
    <n v="7159132"/>
    <s v="P94002264"/>
    <d v="1950-10-10T00:00:00"/>
    <m/>
    <s v="NORA, HELEN"/>
    <s v="SINGLETON ASSOCIATES PA"/>
    <n v="741680498"/>
    <n v="29042551"/>
    <d v="2023-08-14T00:00:00"/>
    <d v="2023-08-14T00:00:00"/>
    <n v="1"/>
    <d v="2023-09-13T00:00:00"/>
    <x v="4"/>
    <n v="21"/>
    <d v="2023-08-01T00:00:00"/>
    <d v="2023-12-31T00:00:00"/>
    <n v="36556"/>
    <s v="INSERT NON-TUNNEL CV CATH"/>
    <x v="0"/>
    <s v="Emergency Medicine"/>
    <n v="1647"/>
    <n v="0"/>
    <n v="1580.98"/>
    <n v="66.02"/>
    <n v="0.95989999999999998"/>
    <s v="Paid"/>
    <n v="223282748"/>
    <s v="HCS120230911263007"/>
    <s v="HCS"/>
    <s v="Z45.2"/>
    <s v="Encounter for adjustment and management of vascular access device"/>
    <n v="0"/>
    <m/>
    <s v="H"/>
    <n v="22"/>
    <m/>
  </r>
  <r>
    <s v="Jails"/>
    <s v="Fort Bend County Jail, TX"/>
    <s v="Fort Bend County Jail   (0131)"/>
    <n v="7159132"/>
    <s v="P94002264"/>
    <d v="1950-10-10T00:00:00"/>
    <m/>
    <s v="NORA, HELEN"/>
    <s v="SINGLETON ASSOCIATES PA"/>
    <n v="741680498"/>
    <n v="29042551"/>
    <d v="2023-08-14T00:00:00"/>
    <d v="2023-08-14T00:00:00"/>
    <n v="1"/>
    <d v="2023-09-13T00:00:00"/>
    <x v="4"/>
    <n v="21"/>
    <d v="2023-08-01T00:00:00"/>
    <d v="2023-12-31T00:00:00"/>
    <n v="76937"/>
    <s v="US GUIDE VASCULAR ACCESS"/>
    <x v="0"/>
    <s v="Emergency Medicine"/>
    <n v="211"/>
    <n v="0"/>
    <n v="200.31"/>
    <n v="10.69"/>
    <n v="0.94930000000000003"/>
    <s v="Paid"/>
    <n v="223282748"/>
    <s v="HCS120230911263007"/>
    <s v="HCS"/>
    <s v="Z45.2"/>
    <s v="Encounter for adjustment and management of vascular access device"/>
    <n v="0"/>
    <m/>
    <s v="H"/>
    <n v="22"/>
    <m/>
  </r>
  <r>
    <s v="Jails"/>
    <s v="Fort Bend County Jail, TX"/>
    <s v="Fort Bend County Jail   (0131)"/>
    <n v="6782238"/>
    <s v="P00247757"/>
    <d v="1969-11-11T00:00:00"/>
    <m/>
    <s v="NUNEZ-CASTILLO, JUAN"/>
    <s v="SINGLETON ASSOCIATES PA"/>
    <n v="741680498"/>
    <n v="29450662"/>
    <d v="2023-09-21T00:00:00"/>
    <d v="2023-09-21T00:00:00"/>
    <n v="1"/>
    <d v="2023-10-25T00:00:00"/>
    <x v="3"/>
    <n v="14"/>
    <d v="2023-08-01T00:00:00"/>
    <d v="2023-12-31T00:00:00"/>
    <n v="71045"/>
    <s v="X-RAY EXAM CHEST 1 VIEW"/>
    <x v="3"/>
    <s v="Critical Care Medicine"/>
    <n v="139"/>
    <n v="0"/>
    <n v="132.05000000000001"/>
    <n v="6.95"/>
    <n v="0.95"/>
    <s v="Paid"/>
    <n v="223338995"/>
    <s v="HCS120231023253040"/>
    <s v="HCS"/>
    <s v="R09.02"/>
    <s v="Hypoxemia"/>
    <n v="0"/>
    <m/>
    <s v="H"/>
    <n v="21"/>
    <m/>
  </r>
  <r>
    <s v="Jails"/>
    <s v="Fort Bend County Jail, TX"/>
    <s v="Fort Bend County Jail   (0131)"/>
    <n v="7169970"/>
    <s v="P00156871"/>
    <d v="1987-09-30T00:00:00"/>
    <m/>
    <s v="TAYLOR, WILLIAM"/>
    <s v="SINGLETON ASSOCIATES PA"/>
    <n v="741680498"/>
    <n v="29280112"/>
    <d v="2023-09-03T00:00:00"/>
    <d v="2023-09-03T00:00:00"/>
    <n v="1"/>
    <d v="2023-09-19T00:00:00"/>
    <x v="4"/>
    <n v="15"/>
    <d v="2023-08-01T00:00:00"/>
    <d v="2023-12-31T00:00:00"/>
    <n v="70450"/>
    <s v="CT HEAD/BRAIN W/O DYE"/>
    <x v="0"/>
    <s v="Emergency Medicine"/>
    <n v="504"/>
    <n v="0"/>
    <n v="471.92"/>
    <n v="32.08"/>
    <n v="0.93630000000000002"/>
    <s v="Paid"/>
    <n v="223291035"/>
    <s v="HCS120230918273008"/>
    <s v="HCS"/>
    <s v="R51.9"/>
    <m/>
    <n v="0"/>
    <m/>
    <s v="H"/>
    <n v="22"/>
    <m/>
  </r>
  <r>
    <s v="Jails"/>
    <s v="Fort Bend County Jail, TX"/>
    <s v="Fort Bend County Jail   (0131)"/>
    <n v="6386162"/>
    <s v="P00244001"/>
    <d v="1994-03-31T00:00:00"/>
    <m/>
    <s v="TOLAR, KEVIN"/>
    <s v="SINGLETON ASSOCIATES PA"/>
    <n v="741680498"/>
    <n v="29164049"/>
    <d v="2023-08-23T00:00:00"/>
    <d v="2023-08-23T00:00:00"/>
    <n v="1"/>
    <d v="2023-09-13T00:00:00"/>
    <x v="4"/>
    <n v="21"/>
    <d v="2023-08-01T00:00:00"/>
    <d v="2023-12-31T00:00:00"/>
    <n v="71045"/>
    <s v="X-RAY EXAM CHEST 1 VIEW"/>
    <x v="0"/>
    <s v="Emergency Medicine"/>
    <n v="139"/>
    <n v="0"/>
    <n v="132.05000000000001"/>
    <n v="6.95"/>
    <n v="0.95"/>
    <s v="Paid"/>
    <n v="223282715"/>
    <s v="HCS120230911269035"/>
    <s v="HCS"/>
    <s v="R07.9"/>
    <s v="Chest pain, unspecified"/>
    <n v="0"/>
    <m/>
    <s v="H"/>
    <n v="23"/>
    <m/>
  </r>
  <r>
    <s v="Jails"/>
    <s v="Fort Bend County Jail, TX"/>
    <s v="Fort Bend County Jail   (0131)"/>
    <n v="6190845"/>
    <s v="P00242170"/>
    <d v="1958-03-20T00:00:00"/>
    <m/>
    <s v="TURNER, EARL"/>
    <s v="SINGLETON ASSOCIATES PA"/>
    <n v="741680498"/>
    <n v="29241234"/>
    <d v="2023-08-31T00:00:00"/>
    <d v="2023-08-31T00:00:00"/>
    <n v="1"/>
    <d v="2023-09-14T00:00:00"/>
    <x v="4"/>
    <n v="20"/>
    <d v="2023-08-01T00:00:00"/>
    <d v="2023-12-31T00:00:00"/>
    <n v="70450"/>
    <s v="CT HEAD/BRAIN W/O DYE"/>
    <x v="0"/>
    <s v="Emergency Medicine"/>
    <n v="504"/>
    <n v="0"/>
    <n v="471.92"/>
    <n v="32.08"/>
    <n v="0.93630000000000002"/>
    <s v="Paid"/>
    <n v="223285375"/>
    <s v="HCS120230912252030"/>
    <s v="HCS"/>
    <s v="I63.9"/>
    <s v="Cerebral infarction, unspecified"/>
    <n v="0"/>
    <m/>
    <s v="H"/>
    <n v="22"/>
    <m/>
  </r>
  <r>
    <s v="Jails"/>
    <s v="Fort Bend County Jail, TX"/>
    <s v="Fort Bend County Jail   (0131)"/>
    <n v="6190845"/>
    <s v="P00242170"/>
    <d v="1958-03-20T00:00:00"/>
    <m/>
    <s v="TURNER, EARL"/>
    <s v="SINGLETON ASSOCIATES PA"/>
    <n v="741680498"/>
    <n v="29241234"/>
    <d v="2023-08-31T00:00:00"/>
    <d v="2023-08-31T00:00:00"/>
    <n v="1"/>
    <d v="2023-09-14T00:00:00"/>
    <x v="4"/>
    <n v="20"/>
    <d v="2023-08-01T00:00:00"/>
    <d v="2023-12-31T00:00:00"/>
    <n v="70496"/>
    <s v="CT ANGIOGRAPHY HEAD"/>
    <x v="0"/>
    <s v="Emergency Medicine"/>
    <n v="1021"/>
    <n v="0"/>
    <n v="955.24"/>
    <n v="65.760000000000005"/>
    <n v="0.9355"/>
    <s v="Paid"/>
    <n v="223285376"/>
    <s v="HCS120230912252031"/>
    <s v="HCS"/>
    <s v="I63.211"/>
    <s v="Cerebral infarction due to unspecified occlusion or stenosis of right vertebral artery"/>
    <n v="0"/>
    <m/>
    <s v="H"/>
    <n v="22"/>
    <m/>
  </r>
  <r>
    <s v="Jails"/>
    <s v="Fort Bend County Jail, TX"/>
    <s v="Fort Bend County Jail   (0131)"/>
    <n v="6190845"/>
    <s v="P00242170"/>
    <d v="1958-03-20T00:00:00"/>
    <m/>
    <s v="TURNER, EARL"/>
    <s v="SINGLETON ASSOCIATES PA"/>
    <n v="741680498"/>
    <n v="29241234"/>
    <d v="2023-08-31T00:00:00"/>
    <d v="2023-08-31T00:00:00"/>
    <n v="1"/>
    <d v="2023-09-14T00:00:00"/>
    <x v="4"/>
    <n v="20"/>
    <d v="2023-08-01T00:00:00"/>
    <d v="2023-12-31T00:00:00"/>
    <n v="70498"/>
    <s v="CT ANGIOGRAPHY NECK"/>
    <x v="0"/>
    <s v="Emergency Medicine"/>
    <n v="1228"/>
    <n v="0"/>
    <n v="1162.24"/>
    <n v="65.760000000000005"/>
    <n v="0.94640000000000002"/>
    <s v="Paid"/>
    <n v="223285376"/>
    <s v="HCS120230912252031"/>
    <s v="HCS"/>
    <s v="I63.211"/>
    <s v="Cerebral infarction due to unspecified occlusion or stenosis of right vertebral artery"/>
    <n v="0"/>
    <m/>
    <s v="H"/>
    <n v="22"/>
    <m/>
  </r>
  <r>
    <s v="Jails"/>
    <s v="Fort Bend County Jail, TX"/>
    <s v="Fort Bend County Jail   (0131)"/>
    <n v="6190845"/>
    <s v="P00242170"/>
    <d v="1958-03-20T00:00:00"/>
    <m/>
    <s v="TURNER, EARL"/>
    <s v="SINGLETON ASSOCIATES PA"/>
    <n v="741680498"/>
    <n v="29241234"/>
    <d v="2023-09-02T00:00:00"/>
    <d v="2023-09-02T00:00:00"/>
    <n v="1"/>
    <d v="2023-09-19T00:00:00"/>
    <x v="4"/>
    <n v="15"/>
    <d v="2023-08-01T00:00:00"/>
    <d v="2023-12-31T00:00:00"/>
    <n v="70547"/>
    <s v="MR ANGIOGRAPHY NECK W/O DYE"/>
    <x v="0"/>
    <s v="Emergency Medicine"/>
    <n v="840"/>
    <n v="0"/>
    <n v="794.56"/>
    <n v="45.44"/>
    <n v="0.94589999999999996"/>
    <s v="Paid"/>
    <n v="223291067"/>
    <s v="HCS120230918273009"/>
    <s v="HCS"/>
    <s v="I63.9"/>
    <s v="Cerebral infarction, unspecified"/>
    <n v="0"/>
    <m/>
    <s v="H"/>
    <n v="22"/>
    <m/>
  </r>
  <r>
    <s v="Jails"/>
    <s v="Fort Bend County Jail, TX"/>
    <s v="Fort Bend County Jail   (0131)"/>
    <n v="6190845"/>
    <s v="P00242170"/>
    <d v="1958-03-20T00:00:00"/>
    <m/>
    <s v="TURNER, EARL"/>
    <s v="SINGLETON ASSOCIATES PA"/>
    <n v="741680498"/>
    <n v="29241234"/>
    <d v="2023-09-02T00:00:00"/>
    <d v="2023-09-02T00:00:00"/>
    <n v="1"/>
    <d v="2023-09-19T00:00:00"/>
    <x v="4"/>
    <n v="15"/>
    <d v="2023-08-01T00:00:00"/>
    <d v="2023-12-31T00:00:00"/>
    <n v="70544"/>
    <s v="MR ANGIOGRAPHY HEAD W/O DYE"/>
    <x v="0"/>
    <s v="Emergency Medicine"/>
    <n v="705"/>
    <n v="0"/>
    <n v="659.56"/>
    <n v="45.44"/>
    <n v="0.9355"/>
    <s v="Paid"/>
    <n v="223291067"/>
    <s v="HCS120230918273009"/>
    <s v="HCS"/>
    <s v="I63.9"/>
    <s v="Cerebral infarction, unspecified"/>
    <n v="0"/>
    <m/>
    <s v="H"/>
    <n v="22"/>
    <m/>
  </r>
  <r>
    <s v="Jails"/>
    <s v="Fort Bend County Jail, TX"/>
    <s v="Fort Bend County Jail   (0131)"/>
    <n v="6190845"/>
    <s v="P00242170"/>
    <d v="1958-03-20T00:00:00"/>
    <m/>
    <s v="TURNER, EARL"/>
    <s v="SINGLETON ASSOCIATES PA"/>
    <n v="741680498"/>
    <n v="29241234"/>
    <d v="2023-09-02T00:00:00"/>
    <d v="2023-09-02T00:00:00"/>
    <n v="1"/>
    <d v="2023-09-19T00:00:00"/>
    <x v="4"/>
    <n v="15"/>
    <d v="2023-08-01T00:00:00"/>
    <d v="2023-12-31T00:00:00"/>
    <n v="70551"/>
    <s v="MRI BRAIN STEM W/O DYE"/>
    <x v="0"/>
    <s v="Emergency Medicine"/>
    <n v="862"/>
    <n v="0"/>
    <n v="805.87"/>
    <n v="56.13"/>
    <n v="0.93479999999999996"/>
    <s v="Paid"/>
    <n v="223291067"/>
    <s v="HCS120230918273009"/>
    <s v="HCS"/>
    <s v="I63.9"/>
    <s v="Cerebral infarction, unspecified"/>
    <n v="0"/>
    <m/>
    <s v="H"/>
    <n v="22"/>
    <m/>
  </r>
  <r>
    <s v="Jails"/>
    <s v="Fort Bend County Jail, TX"/>
    <s v="Fort Bend County Jail   (0131)"/>
    <n v="7296426"/>
    <s v="P00252863"/>
    <d v="1982-09-02T00:00:00"/>
    <m/>
    <s v="VENEGAS ROSALES, VICENTE"/>
    <s v="SINGLETON ASSOCIATES PA"/>
    <n v="741680498"/>
    <n v="29951930"/>
    <d v="2023-11-01T00:00:00"/>
    <d v="2023-11-01T00:00:00"/>
    <n v="1"/>
    <d v="2023-11-17T00:00:00"/>
    <x v="6"/>
    <n v="12"/>
    <d v="2023-08-01T00:00:00"/>
    <d v="2023-12-31T00:00:00"/>
    <n v="71045"/>
    <s v="X-RAY EXAM CHEST 1 VIEW"/>
    <x v="0"/>
    <s v="Emergency Medicine"/>
    <n v="139"/>
    <n v="0"/>
    <n v="132.05000000000001"/>
    <n v="6.95"/>
    <n v="0.95"/>
    <s v="Paid"/>
    <n v="223377390"/>
    <s v="HCS120231116254025"/>
    <s v="HCS"/>
    <s v="R07.9"/>
    <s v="Chest pain, unspecified"/>
    <n v="0"/>
    <m/>
    <s v="H"/>
    <n v="22"/>
    <m/>
  </r>
  <r>
    <s v="Jails"/>
    <s v="Fort Bend County Jail, TX"/>
    <s v="Fort Bend County Jail   (0131)"/>
    <n v="7141839"/>
    <s v="P00251176"/>
    <d v="2005-03-15T00:00:00"/>
    <m/>
    <s v="WILLIAMS, JADEN"/>
    <s v="SINGLETON ASSOCIATES PA"/>
    <n v="741680498"/>
    <n v="29435948"/>
    <d v="2023-09-20T00:00:00"/>
    <d v="2023-09-20T00:00:00"/>
    <n v="1"/>
    <d v="2023-10-13T00:00:00"/>
    <x v="5"/>
    <n v="12"/>
    <d v="2023-08-01T00:00:00"/>
    <d v="2023-12-31T00:00:00"/>
    <n v="70470"/>
    <s v="CT HEAD/BRAIN W/O &amp; W/DYE"/>
    <x v="4"/>
    <s v="CT"/>
    <n v="668"/>
    <n v="0"/>
    <n v="617.48"/>
    <n v="50.52"/>
    <n v="0.92430000000000001"/>
    <s v="Paid"/>
    <n v="223318598"/>
    <s v="HCS120231011258046"/>
    <s v="HCS"/>
    <s v="D17.0"/>
    <s v="Benign lipomatous neoplasm of skin and subcutaneous tissue of head, face and neck"/>
    <n v="0"/>
    <m/>
    <s v="H"/>
    <n v="22"/>
    <m/>
  </r>
  <r>
    <s v="Jails"/>
    <s v="Fort Bend County Jail, TX"/>
    <s v="Fort Bend County Jail   (0131)"/>
    <n v="6599825"/>
    <s v="P00245964"/>
    <d v="1976-01-26T00:00:00"/>
    <m/>
    <s v="WILSON, LEELAND"/>
    <s v="SINGLETON ASSOCIATES PA"/>
    <n v="741680498"/>
    <n v="29198314"/>
    <d v="2023-08-26T00:00:00"/>
    <d v="2023-08-26T00:00:00"/>
    <n v="1"/>
    <d v="2023-09-13T00:00:00"/>
    <x v="4"/>
    <n v="21"/>
    <d v="2023-08-01T00:00:00"/>
    <d v="2023-12-31T00:00:00"/>
    <n v="70450"/>
    <s v="CT HEAD/BRAIN W/O DYE"/>
    <x v="0"/>
    <s v="Emergency Medicine"/>
    <n v="504"/>
    <n v="0"/>
    <n v="471.92"/>
    <n v="32.08"/>
    <n v="0.93630000000000002"/>
    <s v="Paid"/>
    <n v="223282657"/>
    <s v="HCS120230911269032"/>
    <s v="HCS"/>
    <s v="R56.9"/>
    <s v="Unspecified convulsions"/>
    <n v="0"/>
    <m/>
    <s v="H"/>
    <n v="22"/>
    <m/>
  </r>
  <r>
    <s v="Jails"/>
    <s v="Fort Bend County Jail, TX"/>
    <s v="Fort Bend County Jail   (0131)"/>
    <n v="6599825"/>
    <s v="P00245964"/>
    <d v="1976-01-26T00:00:00"/>
    <m/>
    <s v="WILSON, LEELAND"/>
    <s v="SINGLETON ASSOCIATES PA"/>
    <n v="741680498"/>
    <n v="29174222"/>
    <d v="2023-08-24T00:00:00"/>
    <d v="2023-08-24T00:00:00"/>
    <n v="1"/>
    <d v="2023-09-13T00:00:00"/>
    <x v="4"/>
    <n v="21"/>
    <d v="2023-08-01T00:00:00"/>
    <d v="2023-12-31T00:00:00"/>
    <n v="74176"/>
    <s v="CT ABD &amp; PELVIS W/O CONTRAST"/>
    <x v="0"/>
    <s v="Emergency Medicine"/>
    <n v="1278"/>
    <n v="0"/>
    <n v="1212.24"/>
    <n v="65.760000000000005"/>
    <n v="0.94850000000000001"/>
    <s v="Paid"/>
    <n v="223282719"/>
    <s v="HCS120230911269029"/>
    <s v="HCS"/>
    <s v="R10.0"/>
    <s v="Acute abdomen"/>
    <n v="0"/>
    <m/>
    <s v="H"/>
    <n v="23"/>
    <m/>
  </r>
  <r>
    <s v="Jails"/>
    <s v="Fort Bend County Jail, TX"/>
    <s v="Fort Bend County Jail   (0131)"/>
    <n v="7261302"/>
    <s v="P00252455"/>
    <d v="2003-08-25T00:00:00"/>
    <m/>
    <s v="ZLOTEA, ELISA"/>
    <s v="SINGLETON ASSOCIATES PA"/>
    <n v="741680498"/>
    <n v="29686327"/>
    <d v="2023-10-10T00:00:00"/>
    <d v="2023-10-10T00:00:00"/>
    <n v="1"/>
    <d v="2023-11-02T00:00:00"/>
    <x v="0"/>
    <n v="13"/>
    <d v="2023-08-01T00:00:00"/>
    <d v="2023-12-31T00:00:00"/>
    <n v="76815"/>
    <s v="OB US LIMITED FETUS(S)"/>
    <x v="0"/>
    <s v="Emergency Medicine"/>
    <n v="376"/>
    <n v="0"/>
    <n v="351.14"/>
    <n v="24.86"/>
    <n v="0.93379999999999996"/>
    <s v="Paid"/>
    <n v="223354204"/>
    <s v="HCS120231030250031"/>
    <s v="HCS"/>
    <s v="Z36.89"/>
    <s v="Encounter for other specified antenatal screening"/>
    <n v="0"/>
    <m/>
    <s v="H"/>
    <n v="21"/>
    <m/>
  </r>
  <r>
    <s v="Jails"/>
    <s v="Fort Bend County Jail, TX"/>
    <s v="Fort Bend County Jail   (0131)"/>
    <n v="6782238"/>
    <s v="P00247757"/>
    <d v="1969-11-11T00:00:00"/>
    <m/>
    <s v="NUNEZ-CASTILLO, JUAN"/>
    <s v="SOUTHWEST NEPHROLOGY ASSOCIATES LLP"/>
    <n v="760224461"/>
    <n v="29450662"/>
    <d v="2023-09-22T00:00:00"/>
    <d v="2023-09-22T00:00:00"/>
    <n v="1"/>
    <d v="2023-10-25T00:00:00"/>
    <x v="3"/>
    <n v="14"/>
    <d v="2023-08-01T00:00:00"/>
    <d v="2023-12-31T00:00:00"/>
    <n v="99223"/>
    <s v="INITIAL HOSPITAL CARE"/>
    <x v="3"/>
    <s v="Critical Care Medicine"/>
    <n v="348"/>
    <n v="0"/>
    <n v="227.86"/>
    <n v="120.14"/>
    <n v="0.65469999999999995"/>
    <s v="Paid"/>
    <n v="223339188"/>
    <s v="HCS120231023282048"/>
    <s v="HCS"/>
    <s v="N18.6"/>
    <s v="End stage renal disease"/>
    <n v="0"/>
    <m/>
    <s v="H"/>
    <n v="21"/>
    <m/>
  </r>
  <r>
    <s v="Jails"/>
    <s v="Fort Bend County Jail, TX"/>
    <s v="Fort Bend County Jail   (0131)"/>
    <n v="1940551"/>
    <s v="P00092160"/>
    <d v="1977-02-15T00:00:00"/>
    <m/>
    <s v="BARRERA, RENE"/>
    <s v="SUGAR LAND CARDIOVASCULAR CATH LAB"/>
    <n v="850815425"/>
    <n v="29001119"/>
    <d v="2023-08-16T00:00:00"/>
    <d v="2023-08-16T00:00:00"/>
    <n v="1"/>
    <d v="2023-09-20T00:00:00"/>
    <x v="9"/>
    <n v="20"/>
    <d v="2023-08-01T00:00:00"/>
    <d v="2023-12-31T00:00:00"/>
    <s v="C9600"/>
    <s v="PERCUTANEOUS TRANSCATHETER PLACEMENT OF"/>
    <x v="2"/>
    <s v="Cardiology"/>
    <n v="50670"/>
    <n v="0"/>
    <n v="40536"/>
    <n v="10134"/>
    <n v="0.8"/>
    <s v="Paid"/>
    <n v="223292465"/>
    <s v="HCS120230918254006"/>
    <s v="HCS"/>
    <s v="I25.110"/>
    <s v="Atherosclerotic heart disease of native coronary artery with unstable angina pectoris"/>
    <n v="0"/>
    <m/>
    <s v="H"/>
    <n v="11"/>
    <m/>
  </r>
  <r>
    <s v="Jails"/>
    <s v="Fort Bend County Jail, TX"/>
    <s v="Fort Bend County Jail   (0131)"/>
    <n v="1940551"/>
    <s v="P00092160"/>
    <d v="1977-02-15T00:00:00"/>
    <m/>
    <s v="BARRERA, RENE"/>
    <s v="SUGAR LAND CARDIOVASCULAR CATH LAB"/>
    <n v="850815425"/>
    <n v="29001119"/>
    <d v="2023-08-16T00:00:00"/>
    <d v="2023-08-16T00:00:00"/>
    <n v="1"/>
    <d v="2023-09-20T00:00:00"/>
    <x v="9"/>
    <n v="20"/>
    <d v="2023-08-01T00:00:00"/>
    <d v="2023-12-31T00:00:00"/>
    <n v="93458"/>
    <s v="L HRT ARTERY/VENTRICLE ANGIO"/>
    <x v="2"/>
    <s v="Cardiology"/>
    <n v="21101.97"/>
    <n v="0"/>
    <n v="20374.669999999998"/>
    <n v="727.3"/>
    <n v="0.96550000000000002"/>
    <s v="Paid"/>
    <n v="223292465"/>
    <s v="HCS120230918254006"/>
    <s v="HCS"/>
    <s v="I25.110"/>
    <s v="Atherosclerotic heart disease of native coronary artery with unstable angina pectoris"/>
    <n v="0"/>
    <m/>
    <s v="H"/>
    <n v="11"/>
    <m/>
  </r>
  <r>
    <s v="Jails"/>
    <s v="Fort Bend County Jail, TX"/>
    <s v="Fort Bend County Jail   (0131)"/>
    <n v="1940551"/>
    <s v="P00092160"/>
    <d v="1977-02-15T00:00:00"/>
    <m/>
    <s v="BARRERA, RENE"/>
    <s v="SUGAR LAND CARDIOVASCULAR CATH LAB"/>
    <n v="850815425"/>
    <n v="29001119"/>
    <d v="2023-08-16T00:00:00"/>
    <d v="2023-08-16T00:00:00"/>
    <n v="1"/>
    <d v="2023-09-20T00:00:00"/>
    <x v="9"/>
    <n v="20"/>
    <d v="2023-08-01T00:00:00"/>
    <d v="2023-12-31T00:00:00"/>
    <n v="92921"/>
    <s v="PRQ CARDIAC ANGIO ADDL ART"/>
    <x v="2"/>
    <s v="Cardiology"/>
    <n v="8100.6"/>
    <n v="0"/>
    <n v="6480.48"/>
    <n v="1620.12"/>
    <n v="0.8"/>
    <s v="Paid"/>
    <n v="223292465"/>
    <s v="HCS120230918254006"/>
    <s v="HCS"/>
    <s v="I25.110"/>
    <s v="Atherosclerotic heart disease of native coronary artery with unstable angina pectoris"/>
    <n v="0"/>
    <m/>
    <s v="H"/>
    <n v="11"/>
    <m/>
  </r>
  <r>
    <s v="Jails"/>
    <s v="Fort Bend County Jail, TX"/>
    <s v="Fort Bend County Jail   (0131)"/>
    <n v="1940551"/>
    <s v="P00092160"/>
    <d v="1977-02-15T00:00:00"/>
    <m/>
    <s v="BARRERA, RENE"/>
    <s v="SUGAR LAND CARDIOVASCULAR CATH LAB"/>
    <n v="850815425"/>
    <n v="29001119"/>
    <d v="2023-08-16T00:00:00"/>
    <d v="2023-08-16T00:00:00"/>
    <n v="1"/>
    <d v="2023-09-20T00:00:00"/>
    <x v="9"/>
    <n v="20"/>
    <d v="2023-08-01T00:00:00"/>
    <d v="2023-12-31T00:00:00"/>
    <s v="C1874"/>
    <s v="STENT, COATED/COVERED, WITH DELIVERY SYS"/>
    <x v="2"/>
    <s v="Cardiology"/>
    <n v="12750"/>
    <n v="0"/>
    <n v="10200"/>
    <n v="2550"/>
    <n v="0.8"/>
    <s v="Paid"/>
    <n v="223292465"/>
    <s v="HCS120230918254006"/>
    <s v="HCS"/>
    <s v="I25.110"/>
    <s v="Atherosclerotic heart disease of native coronary artery with unstable angina pectoris"/>
    <n v="0"/>
    <m/>
    <s v="H"/>
    <n v="11"/>
    <m/>
  </r>
  <r>
    <s v="Jails"/>
    <s v="Fort Bend County Jail, TX"/>
    <s v="Fort Bend County Jail   (0131)"/>
    <n v="1940551"/>
    <s v="P00092160"/>
    <d v="1977-02-15T00:00:00"/>
    <m/>
    <s v="BARRERA, RENE"/>
    <s v="SUGAR LAND CARDIOVASCULAR CATH LAB"/>
    <n v="850815425"/>
    <n v="29001119"/>
    <d v="2023-08-16T00:00:00"/>
    <d v="2023-08-16T00:00:00"/>
    <n v="1"/>
    <d v="2023-09-20T00:00:00"/>
    <x v="9"/>
    <n v="20"/>
    <d v="2023-08-01T00:00:00"/>
    <d v="2023-12-31T00:00:00"/>
    <s v="C1725"/>
    <s v="CATHETER, TRANSLUMINAL ANGIOPLASTY, NON-"/>
    <x v="2"/>
    <s v="Cardiology"/>
    <n v="6000"/>
    <n v="0"/>
    <n v="4800"/>
    <n v="1200"/>
    <n v="0.8"/>
    <s v="Paid"/>
    <n v="223292465"/>
    <s v="HCS120230918254006"/>
    <s v="HCS"/>
    <s v="I25.110"/>
    <s v="Atherosclerotic heart disease of native coronary artery with unstable angina pectoris"/>
    <n v="0"/>
    <m/>
    <s v="H"/>
    <n v="11"/>
    <m/>
  </r>
  <r>
    <s v="Jails"/>
    <s v="Fort Bend County Jail, TX"/>
    <s v="Fort Bend County Jail   (0131)"/>
    <n v="1940551"/>
    <s v="P00092160"/>
    <d v="1977-02-15T00:00:00"/>
    <m/>
    <s v="BARRERA, RENE"/>
    <s v="SUGAR LAND CARDIOVASCULAR CATH LAB"/>
    <n v="850815425"/>
    <n v="29001119"/>
    <d v="2023-08-16T00:00:00"/>
    <d v="2023-08-16T00:00:00"/>
    <n v="1"/>
    <d v="2023-09-20T00:00:00"/>
    <x v="9"/>
    <n v="20"/>
    <d v="2023-08-01T00:00:00"/>
    <d v="2023-12-31T00:00:00"/>
    <n v="99152"/>
    <s v="MOD SED SAME PHYS/QHP 5/&gt;YRS"/>
    <x v="2"/>
    <s v="Cardiology"/>
    <n v="880.02"/>
    <n v="0"/>
    <n v="831.57"/>
    <n v="48.45"/>
    <n v="0.94489999999999996"/>
    <s v="Paid"/>
    <n v="223292465"/>
    <s v="HCS120230918254006"/>
    <s v="HCS"/>
    <s v="I25.110"/>
    <s v="Atherosclerotic heart disease of native coronary artery with unstable angina pectoris"/>
    <n v="0"/>
    <m/>
    <s v="H"/>
    <n v="11"/>
    <m/>
  </r>
  <r>
    <s v="Jails"/>
    <s v="Fort Bend County Jail, TX"/>
    <s v="Fort Bend County Jail   (0131)"/>
    <n v="1940551"/>
    <s v="P00092160"/>
    <d v="1977-02-15T00:00:00"/>
    <m/>
    <s v="BARRERA, RENE"/>
    <s v="SUGAR LAND CARDIOVASCULAR CATH LAB"/>
    <n v="850815425"/>
    <n v="29001119"/>
    <d v="2023-08-16T00:00:00"/>
    <d v="2023-08-16T00:00:00"/>
    <n v="1"/>
    <d v="2023-09-20T00:00:00"/>
    <x v="9"/>
    <n v="20"/>
    <d v="2023-08-01T00:00:00"/>
    <d v="2023-12-31T00:00:00"/>
    <n v="99153"/>
    <s v="MOD SED SAME PHYS/QHP EA"/>
    <x v="2"/>
    <s v="Cardiology"/>
    <n v="185.22"/>
    <n v="0"/>
    <n v="174.73"/>
    <n v="10.49"/>
    <n v="0.94330000000000003"/>
    <s v="Paid"/>
    <n v="223292465"/>
    <s v="HCS120230918254006"/>
    <s v="HCS"/>
    <s v="I25.110"/>
    <s v="Atherosclerotic heart disease of native coronary artery with unstable angina pectoris"/>
    <n v="0"/>
    <m/>
    <s v="H"/>
    <n v="11"/>
    <m/>
  </r>
  <r>
    <s v="Jails"/>
    <s v="Fort Bend County Jail, TX"/>
    <s v="Fort Bend County Jail   (0131)"/>
    <n v="1940551"/>
    <s v="P00092160"/>
    <d v="1977-02-15T00:00:00"/>
    <m/>
    <s v="BARRERA, RENE"/>
    <s v="SUGAR LAND CARDIOVASCULAR CATH LAB"/>
    <n v="850815425"/>
    <n v="29001119"/>
    <d v="2023-08-16T00:00:00"/>
    <d v="2023-08-16T00:00:00"/>
    <n v="1"/>
    <d v="2023-09-20T00:00:00"/>
    <x v="9"/>
    <n v="20"/>
    <d v="2023-08-01T00:00:00"/>
    <d v="2023-12-31T00:00:00"/>
    <s v="Q9967"/>
    <s v="LOW OSMOLAR CONTRAST MATERIAL, 300-399 M"/>
    <x v="2"/>
    <s v="Cardiology"/>
    <n v="528"/>
    <n v="0"/>
    <n v="500.28"/>
    <n v="27.72"/>
    <n v="0.94750000000000001"/>
    <s v="Paid"/>
    <n v="223292465"/>
    <s v="HCS120230918254006"/>
    <s v="HCS"/>
    <s v="I25.110"/>
    <s v="Atherosclerotic heart disease of native coronary artery with unstable angina pectoris"/>
    <n v="0"/>
    <m/>
    <s v="H"/>
    <n v="11"/>
    <m/>
  </r>
  <r>
    <s v="Jails"/>
    <s v="Fort Bend County Jail, TX"/>
    <s v="Fort Bend County Jail   (0131)"/>
    <n v="4760720"/>
    <s v="P00230508"/>
    <d v="1987-02-22T00:00:00"/>
    <m/>
    <s v="JOHN, TIFFANY"/>
    <s v="SUGAR LAND WOMENS CARE"/>
    <n v="462456505"/>
    <n v="29695997"/>
    <d v="2023-10-15T00:00:00"/>
    <d v="2023-10-15T00:00:00"/>
    <n v="1"/>
    <d v="2023-10-27T00:00:00"/>
    <x v="3"/>
    <n v="12"/>
    <d v="2023-08-01T00:00:00"/>
    <d v="2023-12-31T00:00:00"/>
    <n v="99291"/>
    <s v="CRITICAL CARE FIRST HOUR"/>
    <x v="0"/>
    <s v="Emergency Medicine"/>
    <n v="847"/>
    <n v="0"/>
    <n v="663.19"/>
    <n v="183.81"/>
    <n v="0.78290000000000004"/>
    <s v="Paid"/>
    <n v="223344783"/>
    <s v="HCS120231025258049"/>
    <s v="HCS"/>
    <s v="R65.21"/>
    <s v="Severe sepsis with septic shock"/>
    <n v="0"/>
    <m/>
    <s v="H"/>
    <n v="21"/>
    <m/>
  </r>
  <r>
    <s v="Jails"/>
    <s v="Fort Bend County Jail, TX"/>
    <s v="Fort Bend County Jail   (0131)"/>
    <n v="4013470"/>
    <s v="P00172986"/>
    <d v="1986-11-16T00:00:00"/>
    <m/>
    <s v="GREEN, VERNON"/>
    <s v="TMH PHYSICIAN ASSOCIATES PLLC"/>
    <n v="300520570"/>
    <n v="29631482"/>
    <d v="2023-10-05T00:00:00"/>
    <d v="2023-10-05T00:00:00"/>
    <n v="1"/>
    <d v="2023-10-25T00:00:00"/>
    <x v="3"/>
    <n v="14"/>
    <d v="2023-08-01T00:00:00"/>
    <d v="2023-12-31T00:00:00"/>
    <n v="99291"/>
    <s v="CRITICAL CARE FIRST HOUR"/>
    <x v="0"/>
    <s v="Emergency Medicine"/>
    <n v="603"/>
    <n v="0"/>
    <n v="419.19"/>
    <n v="183.81"/>
    <n v="0.69510000000000005"/>
    <s v="Paid"/>
    <n v="223338898"/>
    <s v="HCS120231023279036"/>
    <s v="HCS"/>
    <s v="I16.0"/>
    <s v="Hypertensive urgency"/>
    <n v="0"/>
    <m/>
    <s v="H"/>
    <n v="21"/>
    <m/>
  </r>
  <r>
    <s v="Jails"/>
    <s v="Fort Bend County Jail, TX"/>
    <s v="Fort Bend County Jail   (0131)"/>
    <n v="4013470"/>
    <s v="P00172986"/>
    <d v="1986-11-16T00:00:00"/>
    <m/>
    <s v="GREEN, VERNON"/>
    <s v="TMH PHYSICIAN ASSOCIATES PLLC"/>
    <n v="300520570"/>
    <n v="29631482"/>
    <d v="2023-10-06T00:00:00"/>
    <d v="2023-10-06T00:00:00"/>
    <n v="1"/>
    <d v="2023-10-25T00:00:00"/>
    <x v="3"/>
    <n v="14"/>
    <d v="2023-08-01T00:00:00"/>
    <d v="2023-12-31T00:00:00"/>
    <n v="99291"/>
    <s v="CRITICAL CARE FIRST HOUR"/>
    <x v="0"/>
    <s v="Emergency Medicine"/>
    <n v="603"/>
    <n v="0"/>
    <n v="419.19"/>
    <n v="183.81"/>
    <n v="0.69510000000000005"/>
    <s v="Paid"/>
    <n v="223338976"/>
    <s v="HCS120231023279037"/>
    <s v="HCS"/>
    <s v="I16.0"/>
    <s v="Hypertensive urgency"/>
    <n v="0"/>
    <m/>
    <s v="H"/>
    <n v="21"/>
    <m/>
  </r>
  <r>
    <s v="Jails"/>
    <s v="Fort Bend County Jail, TX"/>
    <s v="Fort Bend County Jail   (0131)"/>
    <n v="4013470"/>
    <s v="P00172986"/>
    <d v="1986-11-16T00:00:00"/>
    <m/>
    <s v="GREEN, VERNON"/>
    <s v="TMH PHYSICIAN ASSOCIATES PLLC"/>
    <n v="300520570"/>
    <n v="29631482"/>
    <d v="2023-10-06T00:00:00"/>
    <d v="2023-10-06T00:00:00"/>
    <n v="1"/>
    <d v="2023-10-25T00:00:00"/>
    <x v="3"/>
    <n v="14"/>
    <d v="2023-08-01T00:00:00"/>
    <d v="2023-12-31T00:00:00"/>
    <n v="99253"/>
    <s v="INPATIENT CONSULTATION"/>
    <x v="0"/>
    <s v="Emergency Medicine"/>
    <n v="263"/>
    <n v="0"/>
    <n v="179.25"/>
    <n v="83.75"/>
    <n v="0.68149999999999999"/>
    <s v="Paid"/>
    <n v="223339195"/>
    <s v="HCS120231023279035"/>
    <s v="HCS"/>
    <s v="I16.0"/>
    <s v="Hypertensive urgency"/>
    <n v="0"/>
    <m/>
    <s v="H"/>
    <n v="21"/>
    <m/>
  </r>
  <r>
    <s v="Jails"/>
    <s v="Fort Bend County Jail, TX"/>
    <s v="Fort Bend County Jail   (0131)"/>
    <n v="4013470"/>
    <s v="P00172986"/>
    <d v="1986-11-16T00:00:00"/>
    <m/>
    <s v="GREEN, VERNON"/>
    <s v="TMH PHYSICIAN ASSOCIATES PLLC"/>
    <n v="300520570"/>
    <n v="29631482"/>
    <d v="2023-10-07T00:00:00"/>
    <d v="2023-10-07T00:00:00"/>
    <n v="1"/>
    <d v="2023-10-25T00:00:00"/>
    <x v="3"/>
    <n v="14"/>
    <d v="2023-08-01T00:00:00"/>
    <d v="2023-12-31T00:00:00"/>
    <n v="99239"/>
    <s v="HOSPITAL DISCHARGE DAY"/>
    <x v="0"/>
    <s v="Emergency Medicine"/>
    <n v="233"/>
    <n v="0"/>
    <n v="160.85"/>
    <n v="72.150000000000006"/>
    <n v="0.69030000000000002"/>
    <s v="Paid"/>
    <n v="223339196"/>
    <s v="HCS120231023279038"/>
    <s v="HCS"/>
    <s v="I16.0"/>
    <s v="Hypertensive urgency"/>
    <n v="0"/>
    <m/>
    <s v="H"/>
    <n v="21"/>
    <m/>
  </r>
  <r>
    <s v="Jails"/>
    <s v="Fort Bend County Jail, TX"/>
    <s v="Fort Bend County Jail   (0131)"/>
    <n v="4013470"/>
    <s v="P00172986"/>
    <d v="1986-11-16T00:00:00"/>
    <m/>
    <s v="GREEN, VERNON"/>
    <s v="TMH PHYSICIAN ASSOCIATES PLLC"/>
    <n v="300520570"/>
    <n v="29631482"/>
    <d v="2023-10-09T00:00:00"/>
    <d v="2023-10-09T00:00:00"/>
    <n v="1"/>
    <d v="2023-10-25T00:00:00"/>
    <x v="8"/>
    <n v="28"/>
    <d v="2023-08-01T00:00:00"/>
    <d v="2023-12-31T00:00:00"/>
    <n v="93306"/>
    <s v="TTE W/DOPPLER COMPLETE"/>
    <x v="0"/>
    <s v="Emergency Medicine"/>
    <n v="164"/>
    <n v="0"/>
    <n v="109.74"/>
    <n v="54.26"/>
    <n v="0.66910000000000003"/>
    <s v="Paid"/>
    <n v="223339269"/>
    <s v="HCS120231023279044"/>
    <s v="HCS"/>
    <s v="I51.7"/>
    <s v="Cardiomegaly"/>
    <n v="0"/>
    <m/>
    <s v="H"/>
    <n v="21"/>
    <m/>
  </r>
  <r>
    <s v="Jails"/>
    <s v="Fort Bend County Jail, TX"/>
    <s v="Fort Bend County Jail   (0131)"/>
    <n v="6874678"/>
    <s v="P00248725"/>
    <d v="2001-05-08T00:00:00"/>
    <m/>
    <s v="JEFFERSON, JAMES"/>
    <s v="TMH PHYSICIAN ASSOCIATES PLLC"/>
    <n v="300520570"/>
    <n v="29121738"/>
    <d v="2023-08-21T00:00:00"/>
    <d v="2023-08-21T00:00:00"/>
    <n v="1"/>
    <d v="2023-12-05T00:00:00"/>
    <x v="1"/>
    <n v="8"/>
    <d v="2023-08-01T00:00:00"/>
    <d v="2023-12-31T00:00:00"/>
    <n v="99284"/>
    <s v="EMERGENCY DEPT VISIT"/>
    <x v="0"/>
    <s v="Emergency Medicine"/>
    <n v="264"/>
    <n v="0"/>
    <n v="182.76"/>
    <n v="81.239999999999995"/>
    <n v="0.69220000000000004"/>
    <s v="Paid"/>
    <n v="223401828"/>
    <s v="HCS120231204254047"/>
    <s v="HCS"/>
    <s v="M19.031"/>
    <s v="Primary osteoarthritis, right wrist"/>
    <n v="0"/>
    <m/>
    <s v="H"/>
    <n v="23"/>
    <m/>
  </r>
  <r>
    <s v="Jails"/>
    <s v="Fort Bend County Jail, TX"/>
    <s v="Fort Bend County Jail   (0131)"/>
    <n v="2218803"/>
    <s v="P00199276"/>
    <d v="1993-07-29T00:00:00"/>
    <m/>
    <s v="AHMED, NABEEL"/>
    <s v="TRAVIS COUNTY EMERGENCY PHYSICIANS PA"/>
    <n v="742501542"/>
    <n v="30044643"/>
    <d v="2023-11-09T00:00:00"/>
    <d v="2023-11-09T00:00:00"/>
    <n v="1"/>
    <d v="2023-11-28T00:00:00"/>
    <x v="7"/>
    <n v="8"/>
    <d v="2023-08-01T00:00:00"/>
    <d v="2023-12-31T00:00:00"/>
    <n v="99284"/>
    <s v="EMERGENCY DEPT VISIT"/>
    <x v="0"/>
    <s v="ER Evaluation"/>
    <n v="942.18"/>
    <n v="0"/>
    <n v="860.94"/>
    <n v="81.239999999999995"/>
    <n v="0.91369999999999996"/>
    <s v="Paid"/>
    <n v="223391622"/>
    <s v="HCS120231127268006"/>
    <s v="HCS"/>
    <s v="L03.115"/>
    <s v="Cellulitis of right lower limb"/>
    <n v="0"/>
    <m/>
    <s v="H"/>
    <n v="23"/>
    <m/>
  </r>
  <r>
    <s v="Jails"/>
    <s v="Fort Bend County Jail, TX"/>
    <s v="Fort Bend County Jail   (0131)"/>
    <n v="4013470"/>
    <s v="P00172986"/>
    <d v="1986-11-16T00:00:00"/>
    <m/>
    <s v="GREEN, VERNON"/>
    <s v="TRAVIS COUNTY EMERGENCY PHYSICIANS PA"/>
    <n v="742501542"/>
    <n v="29631482"/>
    <d v="2023-10-05T00:00:00"/>
    <d v="2023-10-05T00:00:00"/>
    <n v="1"/>
    <d v="2023-10-31T00:00:00"/>
    <x v="3"/>
    <n v="8"/>
    <d v="2023-08-01T00:00:00"/>
    <d v="2023-12-31T00:00:00"/>
    <n v="99291"/>
    <s v="CRITICAL CARE FIRST HOUR"/>
    <x v="0"/>
    <s v="Emergency Medicine"/>
    <n v="1793.56"/>
    <n v="0"/>
    <n v="1609.75"/>
    <n v="183.81"/>
    <n v="0.89749999999999996"/>
    <s v="Paid"/>
    <n v="223348738"/>
    <s v="HCS120231030285042"/>
    <s v="HCS"/>
    <s v="I16.0"/>
    <s v="Hypertensive urgency"/>
    <n v="0"/>
    <m/>
    <s v="H"/>
    <n v="23"/>
    <m/>
  </r>
  <r>
    <s v="Jails"/>
    <s v="Fort Bend County Jail, TX"/>
    <s v="Fort Bend County Jail   (0131)"/>
    <n v="4013470"/>
    <s v="P00172986"/>
    <d v="1986-11-16T00:00:00"/>
    <m/>
    <s v="GREEN, VERNON"/>
    <s v="TRAVIS COUNTY EMERGENCY PHYSICIANS PA"/>
    <n v="742501542"/>
    <n v="29631482"/>
    <d v="2023-10-05T00:00:00"/>
    <d v="2023-10-05T00:00:00"/>
    <n v="1"/>
    <d v="2023-10-31T00:00:00"/>
    <x v="3"/>
    <n v="8"/>
    <d v="2023-08-01T00:00:00"/>
    <d v="2023-12-31T00:00:00"/>
    <n v="93010"/>
    <s v="ELECTROCARDIOGRAM REPORT"/>
    <x v="0"/>
    <s v="Emergency Medicine"/>
    <n v="68.11"/>
    <n v="0"/>
    <n v="61.69"/>
    <n v="6.42"/>
    <n v="0.90569999999999995"/>
    <s v="Paid"/>
    <n v="223348738"/>
    <s v="HCS120231030285042"/>
    <s v="HCS"/>
    <s v="I16.0"/>
    <s v="Hypertensive urgency"/>
    <n v="0"/>
    <m/>
    <s v="H"/>
    <n v="23"/>
    <m/>
  </r>
  <r>
    <s v="Jails"/>
    <s v="Fort Bend County Jail, TX"/>
    <s v="Fort Bend County Jail   (0131)"/>
    <n v="6874678"/>
    <s v="P00248725"/>
    <d v="2001-05-08T00:00:00"/>
    <m/>
    <s v="JEFFERSON, JAMES"/>
    <s v="TRAVIS COUNTY EMERGENCY PHYSICIANS PA"/>
    <n v="742501542"/>
    <n v="29121738"/>
    <d v="2023-08-21T00:00:00"/>
    <d v="2023-08-21T00:00:00"/>
    <n v="1"/>
    <d v="2023-09-13T00:00:00"/>
    <x v="4"/>
    <n v="21"/>
    <d v="2023-08-01T00:00:00"/>
    <d v="2023-12-31T00:00:00"/>
    <n v="99284"/>
    <s v="EMERGENCY DEPT VISIT"/>
    <x v="0"/>
    <s v="Emergency Medicine"/>
    <n v="942.18"/>
    <n v="0"/>
    <n v="860.94"/>
    <n v="81.239999999999995"/>
    <n v="0.91369999999999996"/>
    <s v="Paid"/>
    <n v="223282764"/>
    <n v="90723799926160"/>
    <s v="HCS"/>
    <s v="M86.632"/>
    <s v="Other chronic osteomyelitis, left radius and ulna"/>
    <n v="0"/>
    <m/>
    <s v="H"/>
    <n v="23"/>
    <m/>
  </r>
  <r>
    <s v="Jails"/>
    <s v="Fort Bend County Jail, TX"/>
    <s v="Fort Bend County Jail   (0131)"/>
    <n v="2329717"/>
    <s v="P00122827"/>
    <d v="1986-10-16T00:00:00"/>
    <m/>
    <s v="SANCHEZ, JOHN"/>
    <s v="UTMB FACULTY GROUP PRACTICE"/>
    <n v="760010407"/>
    <n v="29388423"/>
    <d v="2023-09-27T00:00:00"/>
    <d v="2023-09-27T00:00:00"/>
    <n v="1"/>
    <d v="2023-10-05T00:00:00"/>
    <x v="5"/>
    <n v="20"/>
    <d v="2023-08-01T00:00:00"/>
    <d v="2023-12-31T00:00:00"/>
    <n v="99203"/>
    <s v="OFFICE/OUTPATIENT VISIT NEW"/>
    <x v="1"/>
    <s v="Orthopedics"/>
    <n v="273"/>
    <n v="0"/>
    <n v="217.48"/>
    <n v="55.52"/>
    <n v="0.79659999999999997"/>
    <s v="Paid"/>
    <n v="223309425"/>
    <n v="100323797434395"/>
    <s v="HCS"/>
    <s v="M25.531"/>
    <s v="Pain in right wrist"/>
    <n v="0"/>
    <m/>
    <s v="H"/>
    <n v="11"/>
    <m/>
  </r>
  <r>
    <s v="Jails"/>
    <s v="Fort Bend County Jail, TX"/>
    <s v="Fort Bend County Jail   (0131)"/>
    <n v="2329717"/>
    <s v="P00122827"/>
    <d v="1986-10-16T00:00:00"/>
    <m/>
    <s v="SANCHEZ, JOHN"/>
    <s v="UTMB FACULTY GROUP PRACTICE"/>
    <n v="760010407"/>
    <n v="29388423"/>
    <d v="2023-09-27T00:00:00"/>
    <d v="2023-09-27T00:00:00"/>
    <n v="1"/>
    <d v="2023-10-13T00:00:00"/>
    <x v="5"/>
    <n v="12"/>
    <d v="2023-08-01T00:00:00"/>
    <d v="2023-12-31T00:00:00"/>
    <n v="72190"/>
    <s v="X-RAY EXAM OF PELVIS"/>
    <x v="1"/>
    <s v="Orthopedics"/>
    <n v="30"/>
    <n v="0"/>
    <n v="20.39"/>
    <n v="9.61"/>
    <n v="0.67959999999999998"/>
    <s v="Paid"/>
    <n v="223318207"/>
    <s v="HCS120231011250029"/>
    <s v="HCS"/>
    <s v="M25.531"/>
    <s v="Pain in right wrist"/>
    <n v="0"/>
    <m/>
    <s v="H"/>
    <n v="11"/>
    <m/>
  </r>
  <r>
    <s v="Jails"/>
    <s v="Fort Bend County Jail, TX"/>
    <s v="Fort Bend County Jail   (0131)"/>
    <n v="2329717"/>
    <s v="P00122827"/>
    <d v="1986-10-16T00:00:00"/>
    <m/>
    <s v="SANCHEZ, JOHN"/>
    <s v="UTMB FACULTY GROUP PRACTICE"/>
    <n v="760010407"/>
    <n v="29388423"/>
    <d v="2023-09-27T00:00:00"/>
    <d v="2023-09-27T00:00:00"/>
    <n v="1"/>
    <d v="2023-10-13T00:00:00"/>
    <x v="5"/>
    <n v="12"/>
    <d v="2023-08-01T00:00:00"/>
    <d v="2023-12-31T00:00:00"/>
    <n v="73552"/>
    <s v="X-RAY EXAM OF FEMUR 2/&gt;"/>
    <x v="1"/>
    <s v="Orthopedics"/>
    <n v="25"/>
    <n v="0"/>
    <n v="18.05"/>
    <n v="6.95"/>
    <n v="0.72199999999999998"/>
    <s v="Paid"/>
    <n v="223318207"/>
    <s v="HCS120231011250029"/>
    <s v="HCS"/>
    <s v="M25.531"/>
    <s v="Pain in right wrist"/>
    <n v="0"/>
    <m/>
    <s v="H"/>
    <n v="11"/>
    <m/>
  </r>
  <r>
    <s v="Jails"/>
    <s v="Fort Bend County Jail, TX"/>
    <s v="Fort Bend County Jail   (0131)"/>
    <n v="2329717"/>
    <s v="P00122827"/>
    <d v="1986-10-16T00:00:00"/>
    <m/>
    <s v="SANCHEZ, JOHN"/>
    <s v="UTMB FACULTY GROUP PRACTICE"/>
    <n v="760010407"/>
    <n v="29388423"/>
    <d v="2023-09-27T00:00:00"/>
    <d v="2023-09-27T00:00:00"/>
    <n v="1"/>
    <d v="2023-10-13T00:00:00"/>
    <x v="5"/>
    <n v="12"/>
    <d v="2023-08-01T00:00:00"/>
    <d v="2023-12-31T00:00:00"/>
    <n v="73110"/>
    <s v="X-RAY EXAM OF WRIST"/>
    <x v="1"/>
    <s v="Orthopedics"/>
    <n v="23"/>
    <n v="0"/>
    <n v="16.32"/>
    <n v="6.68"/>
    <n v="0.70950000000000002"/>
    <s v="Paid"/>
    <n v="223318207"/>
    <s v="HCS120231011250029"/>
    <s v="HCS"/>
    <s v="M25.531"/>
    <s v="Pain in right wrist"/>
    <n v="0"/>
    <m/>
    <s v="H"/>
    <n v="11"/>
    <m/>
  </r>
  <r>
    <s v="Jails"/>
    <s v="Fort Bend County Jail, TX"/>
    <s v="Fort Bend County Jail   (0131)"/>
    <n v="2329717"/>
    <s v="P00122827"/>
    <d v="1986-10-16T00:00:00"/>
    <m/>
    <s v="SANCHEZ, JOHN"/>
    <s v="UTMB FACULTY GROUP PRACTICE"/>
    <n v="760010407"/>
    <n v="29388423"/>
    <d v="2023-09-27T00:00:00"/>
    <d v="2023-09-27T00:00:00"/>
    <n v="1"/>
    <d v="2023-11-22T00:00:00"/>
    <x v="7"/>
    <n v="14"/>
    <d v="2023-08-01T00:00:00"/>
    <d v="2023-12-31T00:00:00"/>
    <n v="72190"/>
    <s v="X-RAY EXAM OF PELVIS"/>
    <x v="1"/>
    <s v="Orthopedics"/>
    <n v="30"/>
    <n v="30"/>
    <n v="0"/>
    <n v="0"/>
    <n v="0"/>
    <s v="Paid"/>
    <n v="223383747"/>
    <n v="112023785657305"/>
    <s v="HCS"/>
    <s v="M25.531"/>
    <s v="Pain in right wrist"/>
    <n v="0"/>
    <m/>
    <s v="H"/>
    <n v="11"/>
    <m/>
  </r>
  <r>
    <s v="Jails"/>
    <s v="Fort Bend County Jail, TX"/>
    <s v="Fort Bend County Jail   (0131)"/>
    <n v="2329717"/>
    <s v="P00122827"/>
    <d v="1986-10-16T00:00:00"/>
    <m/>
    <s v="SANCHEZ, JOHN"/>
    <s v="UTMB FACULTY GROUP PRACTICE"/>
    <n v="760010407"/>
    <n v="29388423"/>
    <d v="2023-09-27T00:00:00"/>
    <d v="2023-09-27T00:00:00"/>
    <n v="1"/>
    <d v="2023-11-22T00:00:00"/>
    <x v="7"/>
    <n v="14"/>
    <d v="2023-08-01T00:00:00"/>
    <d v="2023-12-31T00:00:00"/>
    <n v="73552"/>
    <s v="X-RAY EXAM OF FEMUR 2/&gt;"/>
    <x v="1"/>
    <s v="Orthopedics"/>
    <n v="25"/>
    <n v="25"/>
    <n v="0"/>
    <n v="0"/>
    <n v="0"/>
    <s v="Paid"/>
    <n v="223383747"/>
    <n v="112023785657305"/>
    <s v="HCS"/>
    <s v="M25.531"/>
    <s v="Pain in right wrist"/>
    <n v="0"/>
    <m/>
    <s v="H"/>
    <n v="11"/>
    <m/>
  </r>
  <r>
    <s v="Jails"/>
    <s v="Fort Bend County Jail, TX"/>
    <s v="Fort Bend County Jail   (0131)"/>
    <n v="2329717"/>
    <s v="P00122827"/>
    <d v="1986-10-16T00:00:00"/>
    <m/>
    <s v="SANCHEZ, JOHN"/>
    <s v="UTMB FACULTY GROUP PRACTICE"/>
    <n v="760010407"/>
    <n v="29388423"/>
    <d v="2023-09-27T00:00:00"/>
    <d v="2023-09-27T00:00:00"/>
    <n v="1"/>
    <d v="2023-11-22T00:00:00"/>
    <x v="7"/>
    <n v="14"/>
    <d v="2023-08-01T00:00:00"/>
    <d v="2023-12-31T00:00:00"/>
    <n v="73110"/>
    <s v="X-RAY EXAM OF WRIST"/>
    <x v="1"/>
    <s v="Orthopedics"/>
    <n v="23"/>
    <n v="23"/>
    <n v="0"/>
    <n v="0"/>
    <n v="0"/>
    <s v="Paid"/>
    <n v="223383747"/>
    <n v="112023785657305"/>
    <s v="HCS"/>
    <s v="M25.531"/>
    <s v="Pain in right wrist"/>
    <n v="0"/>
    <m/>
    <s v="H"/>
    <n v="11"/>
    <m/>
  </r>
  <r>
    <s v="Jails"/>
    <s v="Fort Bend County Jail, TX"/>
    <s v="Fort Bend County Jail   (0131)"/>
    <n v="2329717"/>
    <s v="P00122827"/>
    <d v="1986-10-16T00:00:00"/>
    <m/>
    <s v="SANCHEZ, JOHN"/>
    <s v="UTMB FACULTY GROUP PRACTICE"/>
    <n v="760010407"/>
    <n v="29388423"/>
    <d v="2023-09-27T00:00:00"/>
    <d v="2023-09-27T00:00:00"/>
    <n v="1"/>
    <d v="2023-11-23T00:00:00"/>
    <x v="7"/>
    <n v="13"/>
    <d v="2023-08-01T00:00:00"/>
    <d v="2023-12-31T00:00:00"/>
    <n v="99203"/>
    <s v="OFFICE/OUTPATIENT VISIT NEW"/>
    <x v="1"/>
    <s v="Orthopedics"/>
    <n v="273"/>
    <n v="273"/>
    <n v="0"/>
    <n v="0"/>
    <n v="0"/>
    <s v="Paid"/>
    <n v="223386887"/>
    <n v="112123790818726"/>
    <s v="HCS"/>
    <s v="M25.531"/>
    <s v="Pain in right wrist"/>
    <n v="0"/>
    <m/>
    <s v="H"/>
    <n v="11"/>
    <m/>
  </r>
  <r>
    <s v="Jails"/>
    <s v="Fort Bend County Jail, TX"/>
    <s v="Fort Bend County Jail   (0131)"/>
    <n v="1940551"/>
    <s v="P00092160"/>
    <d v="1977-02-15T00:00:00"/>
    <m/>
    <s v="BARRERA, RENE"/>
    <s v="YASSIR A SONBOL MD PA"/>
    <n v="462009634"/>
    <n v="29101483"/>
    <d v="2023-08-29T00:00:00"/>
    <d v="2023-08-29T00:00:00"/>
    <n v="1"/>
    <d v="2023-12-04T00:00:00"/>
    <x v="1"/>
    <n v="9"/>
    <d v="2023-08-01T00:00:00"/>
    <d v="2023-12-31T00:00:00"/>
    <n v="99214"/>
    <s v="OFFICE/OUTPATIENT VISIT EST"/>
    <x v="1"/>
    <s v="Cardiology"/>
    <n v="190"/>
    <n v="0"/>
    <n v="65.64"/>
    <n v="124.36"/>
    <n v="0.34539999999999998"/>
    <s v="Paid"/>
    <n v="223400913"/>
    <s v="HCS120231129250001"/>
    <s v="HCS"/>
    <s v="I10"/>
    <s v="Essential (primary) hypertension"/>
    <n v="0"/>
    <m/>
    <s v="H"/>
    <n v="11"/>
    <m/>
  </r>
  <r>
    <s v="Jails"/>
    <s v="Fort Bend County Jail, TX"/>
    <s v="Fort Bend County Jail   (0131)"/>
    <n v="1940551"/>
    <s v="P00092160"/>
    <d v="1977-02-15T00:00:00"/>
    <m/>
    <s v="BARRERA, RENE"/>
    <s v="YASSIR A SONBOL MD PA"/>
    <n v="462009634"/>
    <n v="29001119"/>
    <d v="2023-08-16T00:00:00"/>
    <d v="2023-08-16T00:00:00"/>
    <n v="1"/>
    <d v="2023-12-04T00:00:00"/>
    <x v="1"/>
    <n v="9"/>
    <d v="2023-08-01T00:00:00"/>
    <d v="2023-12-31T00:00:00"/>
    <n v="92928"/>
    <s v="PRQ CARD STENT W/ANGIO 1 VSL"/>
    <x v="2"/>
    <s v="Cardiology"/>
    <n v="850"/>
    <n v="0"/>
    <n v="294.79000000000002"/>
    <n v="555.21"/>
    <n v="0.3468"/>
    <s v="Paid"/>
    <n v="223401360"/>
    <s v="HCS120231129251050"/>
    <s v="HCS"/>
    <s v="I20.0"/>
    <s v="Unstable angina"/>
    <n v="0"/>
    <m/>
    <s v="H"/>
    <n v="24"/>
    <m/>
  </r>
  <r>
    <s v="Jails"/>
    <s v="Fort Bend County Jail, TX"/>
    <s v="Fort Bend County Jail   (0131)"/>
    <n v="1940551"/>
    <s v="P00092160"/>
    <d v="1977-02-15T00:00:00"/>
    <m/>
    <s v="BARRERA, RENE"/>
    <s v="YASSIR A SONBOL MD PA"/>
    <n v="462009634"/>
    <n v="29001119"/>
    <d v="2023-08-16T00:00:00"/>
    <d v="2023-08-16T00:00:00"/>
    <n v="1"/>
    <d v="2023-12-04T00:00:00"/>
    <x v="1"/>
    <n v="9"/>
    <d v="2023-08-01T00:00:00"/>
    <d v="2023-12-31T00:00:00"/>
    <n v="93458"/>
    <s v="L HRT ARTERY/VENTRICLE ANGIO"/>
    <x v="2"/>
    <s v="Cardiology"/>
    <n v="600"/>
    <n v="0"/>
    <n v="460.97"/>
    <n v="139.03"/>
    <n v="0.76819999999999999"/>
    <s v="Paid"/>
    <n v="223401360"/>
    <s v="HCS120231129251050"/>
    <s v="HCS"/>
    <s v="I20.0"/>
    <s v="Unstable angina"/>
    <n v="0"/>
    <m/>
    <s v="H"/>
    <n v="24"/>
    <m/>
  </r>
  <r>
    <s v="Jails"/>
    <s v="Fort Bend County Jail, TX"/>
    <s v="Fort Bend County Jail   (0131)"/>
    <n v="1940551"/>
    <s v="P00092160"/>
    <d v="1977-02-15T00:00:00"/>
    <m/>
    <s v="BARRERA, RENE"/>
    <s v="YASSIR A SONBOL MD PA"/>
    <n v="462009634"/>
    <n v="29001119"/>
    <d v="2023-08-16T00:00:00"/>
    <d v="2023-08-16T00:00:00"/>
    <n v="1"/>
    <d v="2023-12-04T00:00:00"/>
    <x v="1"/>
    <n v="9"/>
    <d v="2023-08-01T00:00:00"/>
    <d v="2023-12-31T00:00:00"/>
    <n v="99152"/>
    <s v="MOD SED SAME PHYS/QHP 5/&gt;YRS"/>
    <x v="2"/>
    <s v="Cardiology"/>
    <n v="75"/>
    <n v="0"/>
    <n v="62.92"/>
    <n v="12.08"/>
    <n v="0.83889999999999998"/>
    <s v="Paid"/>
    <n v="223401360"/>
    <s v="HCS120231129251050"/>
    <s v="HCS"/>
    <s v="I20.0"/>
    <s v="Unstable angina"/>
    <n v="0"/>
    <m/>
    <s v="H"/>
    <n v="24"/>
    <m/>
  </r>
  <r>
    <s v="Jails"/>
    <s v="Fort Bend County Jail, TX"/>
    <s v="Fort Bend County Jail   (0131)"/>
    <n v="1940551"/>
    <s v="P00092160"/>
    <d v="1977-02-15T00:00:00"/>
    <m/>
    <s v="BARRERA, RENE"/>
    <s v="YASSIR A SONBOL MD PA"/>
    <n v="462009634"/>
    <n v="29101483"/>
    <d v="2023-08-29T00:00:00"/>
    <d v="2023-08-29T00:00:00"/>
    <n v="1"/>
    <d v="2023-12-11T00:00:00"/>
    <x v="1"/>
    <n v="2"/>
    <d v="2023-08-01T00:00:00"/>
    <d v="2023-12-31T00:00:00"/>
    <n v="99214"/>
    <s v="OFFICE/OUTPATIENT VISIT EST"/>
    <x v="1"/>
    <s v="Cardiology"/>
    <n v="190"/>
    <n v="190"/>
    <n v="0"/>
    <n v="0"/>
    <n v="0"/>
    <s v="Paid"/>
    <n v="223411399"/>
    <s v="HCS120231204267048"/>
    <s v="HCS"/>
    <s v="I10"/>
    <s v="Essential (primary) hypertension"/>
    <n v="0"/>
    <m/>
    <s v="H"/>
    <n v="11"/>
    <m/>
  </r>
  <r>
    <s v="Jails"/>
    <s v="Fort Bend County Jail, TX"/>
    <s v="Fort Bend County Jail   (0131)"/>
    <n v="1940551"/>
    <s v="P00092160"/>
    <d v="1977-02-15T00:00:00"/>
    <m/>
    <s v="BARRERA, RENE"/>
    <s v="YASSIR A SONBOL MD PA"/>
    <n v="462009634"/>
    <n v="29001119"/>
    <d v="2023-08-16T00:00:00"/>
    <d v="2023-08-16T00:00:00"/>
    <n v="1"/>
    <d v="2023-12-11T00:00:00"/>
    <x v="1"/>
    <n v="2"/>
    <d v="2023-08-01T00:00:00"/>
    <d v="2023-12-31T00:00:00"/>
    <n v="92928"/>
    <s v="PRQ CARD STENT W/ANGIO 1 VSL"/>
    <x v="2"/>
    <s v="Cardiology"/>
    <n v="850"/>
    <n v="850"/>
    <n v="0"/>
    <n v="0"/>
    <n v="0"/>
    <s v="Paid"/>
    <n v="223411568"/>
    <s v="HCS120231204267047"/>
    <s v="HCS"/>
    <s v="I20.0"/>
    <s v="Unstable angina"/>
    <n v="0"/>
    <m/>
    <s v="H"/>
    <n v="24"/>
    <m/>
  </r>
  <r>
    <s v="Jails"/>
    <s v="Fort Bend County Jail, TX"/>
    <s v="Fort Bend County Jail   (0131)"/>
    <n v="1940551"/>
    <s v="P00092160"/>
    <d v="1977-02-15T00:00:00"/>
    <m/>
    <s v="BARRERA, RENE"/>
    <s v="YASSIR A SONBOL MD PA"/>
    <n v="462009634"/>
    <n v="29001119"/>
    <d v="2023-08-16T00:00:00"/>
    <d v="2023-08-16T00:00:00"/>
    <n v="1"/>
    <d v="2023-12-11T00:00:00"/>
    <x v="1"/>
    <n v="2"/>
    <d v="2023-08-01T00:00:00"/>
    <d v="2023-12-31T00:00:00"/>
    <n v="93458"/>
    <s v="L HRT ARTERY/VENTRICLE ANGIO"/>
    <x v="2"/>
    <s v="Cardiology"/>
    <n v="600"/>
    <n v="600"/>
    <n v="0"/>
    <n v="0"/>
    <n v="0"/>
    <s v="Paid"/>
    <n v="223411568"/>
    <s v="HCS120231204267047"/>
    <s v="HCS"/>
    <s v="I20.0"/>
    <s v="Unstable angina"/>
    <n v="0"/>
    <m/>
    <s v="H"/>
    <n v="24"/>
    <m/>
  </r>
  <r>
    <s v="Jails"/>
    <s v="Fort Bend County Jail, TX"/>
    <s v="Fort Bend County Jail   (0131)"/>
    <n v="1940551"/>
    <s v="P00092160"/>
    <d v="1977-02-15T00:00:00"/>
    <m/>
    <s v="BARRERA, RENE"/>
    <s v="YASSIR A SONBOL MD PA"/>
    <n v="462009634"/>
    <n v="29001119"/>
    <d v="2023-08-16T00:00:00"/>
    <d v="2023-08-16T00:00:00"/>
    <n v="1"/>
    <d v="2023-12-11T00:00:00"/>
    <x v="1"/>
    <n v="2"/>
    <d v="2023-08-01T00:00:00"/>
    <d v="2023-12-31T00:00:00"/>
    <n v="99152"/>
    <s v="MOD SED SAME PHYS/QHP 5/&gt;YRS"/>
    <x v="2"/>
    <s v="Cardiology"/>
    <n v="75"/>
    <n v="75"/>
    <n v="0"/>
    <n v="0"/>
    <n v="0"/>
    <s v="Paid"/>
    <n v="223411568"/>
    <s v="HCS120231204267047"/>
    <s v="HCS"/>
    <s v="I20.0"/>
    <s v="Unstable angina"/>
    <n v="0"/>
    <m/>
    <s v="H"/>
    <n v="24"/>
    <m/>
  </r>
  <r>
    <s v="Jails"/>
    <s v="Fort Bend County Jail, TX"/>
    <s v="Fort Bend County Jail   (0131)"/>
    <n v="2616444"/>
    <s v="P00005598"/>
    <d v="1960-08-16T00:00:00"/>
    <m/>
    <s v="BRADLEY, CHARLES"/>
    <s v="YASSIR A SONBOL MD PA"/>
    <n v="462009634"/>
    <n v="29305114"/>
    <d v="2023-10-09T00:00:00"/>
    <d v="2023-10-09T00:00:00"/>
    <n v="1"/>
    <d v="2023-10-24T00:00:00"/>
    <x v="3"/>
    <n v="15"/>
    <d v="2023-08-01T00:00:00"/>
    <d v="2023-12-31T00:00:00"/>
    <n v="99204"/>
    <s v="OFFICE/OUTPATIENT VISIT NEW"/>
    <x v="1"/>
    <s v="Cardiology"/>
    <n v="250"/>
    <n v="0"/>
    <n v="88.05"/>
    <n v="161.94999999999999"/>
    <n v="0.35220000000000001"/>
    <s v="Paid"/>
    <n v="223336384"/>
    <n v="101723748382896"/>
    <s v="HCS"/>
    <s v="I10"/>
    <s v="Essential (primary) hypertension"/>
    <n v="0"/>
    <m/>
    <s v="H"/>
    <n v="1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Treatment Type">
  <location ref="A3:E11" firstHeaderRow="1" firstDataRow="2" firstDataCol="1"/>
  <pivotFields count="41"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numFmtId="14" showAll="0"/>
    <pivotField numFmtId="14" showAll="0">
      <items count="11">
        <item x="4"/>
        <item x="9"/>
        <item x="5"/>
        <item x="2"/>
        <item x="3"/>
        <item x="0"/>
        <item x="8"/>
        <item x="6"/>
        <item x="7"/>
        <item x="1"/>
        <item t="default"/>
      </items>
    </pivotField>
    <pivotField showAll="0"/>
    <pivotField numFmtId="14" showAll="0"/>
    <pivotField numFmtId="14" showAll="0"/>
    <pivotField showAll="0"/>
    <pivotField showAll="0"/>
    <pivotField axis="axisRow" showAll="0">
      <items count="7">
        <item x="0"/>
        <item x="3"/>
        <item x="1"/>
        <item x="5"/>
        <item x="2"/>
        <item x="4"/>
        <item t="default"/>
      </items>
    </pivotField>
    <pivotField showAll="0"/>
    <pivotField showAll="0"/>
    <pivotField showAll="0"/>
    <pivotField showAll="0"/>
    <pivotField dataField="1" showAll="0"/>
    <pivotField numFmtId="1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6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t="default"/>
      </items>
    </pivotField>
    <pivotField axis="axisCol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2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40"/>
  </colFields>
  <colItems count="4">
    <i>
      <x v="10"/>
    </i>
    <i>
      <x v="11"/>
    </i>
    <i>
      <x v="12"/>
    </i>
    <i t="grand">
      <x/>
    </i>
  </colItems>
  <dataFields count="1">
    <dataField name="Sum of Paid" fld="2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workbookViewId="0">
      <pane ySplit="4" topLeftCell="A5" activePane="bottomLeft" state="frozen"/>
      <selection pane="bottomLeft" activeCell="K90" sqref="K90"/>
    </sheetView>
  </sheetViews>
  <sheetFormatPr defaultRowHeight="15" outlineLevelRow="2" x14ac:dyDescent="0.25"/>
  <cols>
    <col min="1" max="1" width="38.7109375" customWidth="1"/>
    <col min="2" max="7" width="16.7109375" style="2" customWidth="1"/>
    <col min="11" max="11" width="11.5703125" bestFit="1" customWidth="1"/>
    <col min="13" max="13" width="9.5703125" bestFit="1" customWidth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3" spans="1:7" x14ac:dyDescent="0.25">
      <c r="A3" s="1"/>
      <c r="B3" s="50" t="s">
        <v>2</v>
      </c>
      <c r="C3" s="50"/>
      <c r="D3" s="50"/>
      <c r="E3" s="50"/>
      <c r="F3" s="50"/>
      <c r="G3" s="3"/>
    </row>
    <row r="4" spans="1:7" x14ac:dyDescent="0.25">
      <c r="B4" s="4">
        <v>45169</v>
      </c>
      <c r="C4" s="4">
        <v>45199</v>
      </c>
      <c r="D4" s="4">
        <v>45230</v>
      </c>
      <c r="E4" s="4">
        <v>45260</v>
      </c>
      <c r="F4" s="4">
        <v>45291</v>
      </c>
      <c r="G4" s="4" t="s">
        <v>3</v>
      </c>
    </row>
    <row r="5" spans="1:7" outlineLevel="1" x14ac:dyDescent="0.25">
      <c r="A5" s="5" t="str">
        <f>TRIM(MID("2A.Salaries",4,125))</f>
        <v>Salaries</v>
      </c>
    </row>
    <row r="6" spans="1:7" outlineLevel="2" x14ac:dyDescent="0.25">
      <c r="A6" t="str">
        <f>("50000")&amp;" - "&amp;("Wages OPS- Regular")</f>
        <v>50000 - Wages OPS- Regular</v>
      </c>
      <c r="B6" s="2">
        <f>358339.46+0</f>
        <v>358339.46</v>
      </c>
      <c r="C6" s="2">
        <f>319180.17+0</f>
        <v>319180.17</v>
      </c>
      <c r="D6" s="2">
        <f>320276.79+0</f>
        <v>320276.78999999998</v>
      </c>
      <c r="E6" s="2">
        <f>304927.88+0</f>
        <v>304927.88</v>
      </c>
      <c r="F6" s="2">
        <f>323030.69+0</f>
        <v>323030.69</v>
      </c>
      <c r="G6" s="2">
        <f t="shared" ref="G6:G11" si="0">SUM(B6:F6)</f>
        <v>1625754.9899999998</v>
      </c>
    </row>
    <row r="7" spans="1:7" outlineLevel="2" x14ac:dyDescent="0.25">
      <c r="A7" t="str">
        <f>("50025")&amp;" - "&amp;("Wages OPS- OT")</f>
        <v>50025 - Wages OPS- OT</v>
      </c>
      <c r="B7" s="2">
        <f>17839.7+0</f>
        <v>17839.7</v>
      </c>
      <c r="C7" s="2">
        <f>10713.01+0</f>
        <v>10713.01</v>
      </c>
      <c r="D7" s="2">
        <f>5684.66+0</f>
        <v>5684.66</v>
      </c>
      <c r="E7" s="2">
        <f>10915.67+0</f>
        <v>10915.67</v>
      </c>
      <c r="F7" s="2">
        <f>8927.44+0</f>
        <v>8927.44</v>
      </c>
      <c r="G7" s="2">
        <f t="shared" si="0"/>
        <v>54080.479999999996</v>
      </c>
    </row>
    <row r="8" spans="1:7" outlineLevel="2" x14ac:dyDescent="0.25">
      <c r="A8" t="str">
        <f>("50075")&amp;" - "&amp;("Wages OPS- Premium")</f>
        <v>50075 - Wages OPS- Premium</v>
      </c>
      <c r="B8" s="2">
        <f>9686.67+0</f>
        <v>9686.67</v>
      </c>
      <c r="C8" s="2">
        <f>12451.48+0</f>
        <v>12451.48</v>
      </c>
      <c r="D8" s="2">
        <f>12610.04+0</f>
        <v>12610.04</v>
      </c>
      <c r="E8" s="2">
        <f>12152.15+0</f>
        <v>12152.15</v>
      </c>
      <c r="F8" s="2">
        <f>13539.45+0</f>
        <v>13539.45</v>
      </c>
      <c r="G8" s="2">
        <f t="shared" si="0"/>
        <v>60439.790000000008</v>
      </c>
    </row>
    <row r="9" spans="1:7" outlineLevel="2" x14ac:dyDescent="0.25">
      <c r="A9" t="str">
        <f>("50100")&amp;" - "&amp;("Wages OPS- Non Prod")</f>
        <v>50100 - Wages OPS- Non Prod</v>
      </c>
      <c r="B9" s="2">
        <f>36440.97+0</f>
        <v>36440.97</v>
      </c>
      <c r="C9" s="2">
        <f>40419.34+0</f>
        <v>40419.339999999997</v>
      </c>
      <c r="D9" s="2">
        <f>22063.99+0</f>
        <v>22063.99</v>
      </c>
      <c r="E9" s="2">
        <f>30342.88+0</f>
        <v>30342.880000000001</v>
      </c>
      <c r="F9" s="2">
        <f>82400.05+0</f>
        <v>82400.05</v>
      </c>
      <c r="G9" s="2">
        <f t="shared" si="0"/>
        <v>211667.23</v>
      </c>
    </row>
    <row r="10" spans="1:7" outlineLevel="1" x14ac:dyDescent="0.25">
      <c r="A10" s="5" t="s">
        <v>4</v>
      </c>
      <c r="B10" s="6">
        <f>SUM(OSRRefB6_0_0x_0)</f>
        <v>422306.80000000005</v>
      </c>
      <c r="C10" s="6">
        <f>SUM(OSRRefB6_0_0x_1)</f>
        <v>382764</v>
      </c>
      <c r="D10" s="6">
        <f>SUM(OSRRefB6_0_0x_2)</f>
        <v>360635.47999999992</v>
      </c>
      <c r="E10" s="6">
        <f>SUM(OSRRefB6_0_0x_3)</f>
        <v>358338.58</v>
      </c>
      <c r="F10" s="6">
        <f>SUM(OSRRefB6_0_0x_4)</f>
        <v>427897.63</v>
      </c>
      <c r="G10" s="6">
        <f t="shared" si="0"/>
        <v>1951942.4900000002</v>
      </c>
    </row>
    <row r="11" spans="1:7" s="5" customFormat="1" x14ac:dyDescent="0.25">
      <c r="A11" s="5" t="str">
        <f>"Total "&amp;TRIM(MID("2A.Salaries",4,125))</f>
        <v>Total Salaries</v>
      </c>
      <c r="B11" s="7">
        <f>SUM(OSRRefB7_0x_0)</f>
        <v>422306.80000000005</v>
      </c>
      <c r="C11" s="7">
        <f>SUM(OSRRefB7_0x_1)</f>
        <v>382764</v>
      </c>
      <c r="D11" s="7">
        <f>SUM(OSRRefB7_0x_2)</f>
        <v>360635.47999999992</v>
      </c>
      <c r="E11" s="7">
        <f>SUM(OSRRefB7_0x_3)</f>
        <v>358338.58</v>
      </c>
      <c r="F11" s="7">
        <f>SUM(OSRRefB7_0x_4)</f>
        <v>427897.63</v>
      </c>
      <c r="G11" s="7">
        <f t="shared" si="0"/>
        <v>1951942.4900000002</v>
      </c>
    </row>
    <row r="13" spans="1:7" outlineLevel="1" x14ac:dyDescent="0.25">
      <c r="A13" s="5" t="str">
        <f>TRIM(MID("2B.Contract Labor",4,125))</f>
        <v>Contract Labor</v>
      </c>
    </row>
    <row r="14" spans="1:7" outlineLevel="2" x14ac:dyDescent="0.25">
      <c r="A14" t="str">
        <f>("51000")&amp;" - "&amp;("Contract Labor- Physician")</f>
        <v>51000 - Contract Labor- Physician</v>
      </c>
      <c r="B14" s="2">
        <f>0+0</f>
        <v>0</v>
      </c>
      <c r="C14" s="2">
        <f>2175+0</f>
        <v>2175</v>
      </c>
      <c r="D14" s="2">
        <f>1775+0</f>
        <v>1775</v>
      </c>
      <c r="E14" s="2">
        <f>2575+0</f>
        <v>2575</v>
      </c>
      <c r="F14" s="2">
        <f>1675+0</f>
        <v>1675</v>
      </c>
      <c r="G14" s="2">
        <f>SUM(B14:F14)</f>
        <v>8200</v>
      </c>
    </row>
    <row r="15" spans="1:7" outlineLevel="2" x14ac:dyDescent="0.25">
      <c r="A15" t="str">
        <f>("51100")&amp;" - "&amp;("Contract Labor- Psychiatrist")</f>
        <v>51100 - Contract Labor- Psychiatrist</v>
      </c>
      <c r="B15" s="2">
        <f>0+0</f>
        <v>0</v>
      </c>
      <c r="C15" s="2">
        <f>1300+0</f>
        <v>1300</v>
      </c>
      <c r="D15" s="2">
        <f>1300+0</f>
        <v>1300</v>
      </c>
      <c r="E15" s="2">
        <f>1300+0</f>
        <v>1300</v>
      </c>
      <c r="F15" s="2">
        <f>1300+0</f>
        <v>1300</v>
      </c>
      <c r="G15" s="2">
        <f>SUM(B15:F15)</f>
        <v>5200</v>
      </c>
    </row>
    <row r="16" spans="1:7" outlineLevel="1" x14ac:dyDescent="0.25">
      <c r="A16" s="5" t="s">
        <v>5</v>
      </c>
      <c r="B16" s="6">
        <f>SUM(OSRRefB6_1_0x_0)</f>
        <v>0</v>
      </c>
      <c r="C16" s="6">
        <f>SUM(OSRRefB6_1_0x_1)</f>
        <v>3475</v>
      </c>
      <c r="D16" s="6">
        <f>SUM(OSRRefB6_1_0x_2)</f>
        <v>3075</v>
      </c>
      <c r="E16" s="6">
        <f>SUM(OSRRefB6_1_0x_3)</f>
        <v>3875</v>
      </c>
      <c r="F16" s="6">
        <f>SUM(OSRRefB6_1_0x_4)</f>
        <v>2975</v>
      </c>
      <c r="G16" s="6">
        <f>SUM(B16:F16)</f>
        <v>13400</v>
      </c>
    </row>
    <row r="17" spans="1:7" s="5" customFormat="1" x14ac:dyDescent="0.25">
      <c r="A17" s="5" t="str">
        <f>"Total "&amp;TRIM(MID("2B.Contract Labor",4,125))</f>
        <v>Total Contract Labor</v>
      </c>
      <c r="B17" s="7">
        <f>SUM(OSRRefB7_1x_0)</f>
        <v>0</v>
      </c>
      <c r="C17" s="7">
        <f>SUM(OSRRefB7_1x_1)</f>
        <v>3475</v>
      </c>
      <c r="D17" s="7">
        <f>SUM(OSRRefB7_1x_2)</f>
        <v>3075</v>
      </c>
      <c r="E17" s="7">
        <f>SUM(OSRRefB7_1x_3)</f>
        <v>3875</v>
      </c>
      <c r="F17" s="7">
        <f>SUM(OSRRefB7_1x_4)</f>
        <v>2975</v>
      </c>
      <c r="G17" s="7">
        <f>SUM(B17:F17)</f>
        <v>13400</v>
      </c>
    </row>
    <row r="19" spans="1:7" outlineLevel="1" x14ac:dyDescent="0.25">
      <c r="A19" s="5" t="str">
        <f>TRIM(MID("2C.Benefits",4,125))</f>
        <v>Benefits</v>
      </c>
    </row>
    <row r="20" spans="1:7" outlineLevel="2" x14ac:dyDescent="0.25">
      <c r="A20" t="str">
        <f>("55100")&amp;" - "&amp;("Benefits - CCS Plan EE Expense")</f>
        <v>55100 - Benefits - CCS Plan EE Expense</v>
      </c>
      <c r="B20" s="2">
        <f>864.76+0</f>
        <v>864.76</v>
      </c>
      <c r="C20" s="2">
        <f>21277.83+0</f>
        <v>21277.83</v>
      </c>
      <c r="D20" s="2">
        <f>22059.32+0</f>
        <v>22059.32</v>
      </c>
      <c r="E20" s="2">
        <f>24539.46+0</f>
        <v>24539.46</v>
      </c>
      <c r="F20" s="2">
        <f>25744.71+0</f>
        <v>25744.71</v>
      </c>
      <c r="G20" s="2">
        <f t="shared" ref="G20:G35" si="1">SUM(B20:F20)</f>
        <v>94486.079999999987</v>
      </c>
    </row>
    <row r="21" spans="1:7" outlineLevel="2" x14ac:dyDescent="0.25">
      <c r="A21" t="str">
        <f>("55110")&amp;" - "&amp;("Benefits: PC Plan EE Expense")</f>
        <v>55110 - Benefits: PC Plan EE Expense</v>
      </c>
      <c r="B21" s="2">
        <f>0+0</f>
        <v>0</v>
      </c>
      <c r="C21" s="2">
        <f>980.32+0</f>
        <v>980.32</v>
      </c>
      <c r="D21" s="2">
        <f>1016.43+0</f>
        <v>1016.43</v>
      </c>
      <c r="E21" s="2">
        <f>1131.84+0</f>
        <v>1131.8399999999999</v>
      </c>
      <c r="F21" s="2">
        <f>1180.66+0</f>
        <v>1180.6600000000001</v>
      </c>
      <c r="G21" s="2">
        <f t="shared" si="1"/>
        <v>4309.25</v>
      </c>
    </row>
    <row r="22" spans="1:7" outlineLevel="1" x14ac:dyDescent="0.25">
      <c r="A22" s="5" t="s">
        <v>6</v>
      </c>
      <c r="B22" s="6">
        <f>SUM(OSRRefB6_2_0x_0)</f>
        <v>864.76</v>
      </c>
      <c r="C22" s="6">
        <f>SUM(OSRRefB6_2_0x_1)</f>
        <v>22258.15</v>
      </c>
      <c r="D22" s="6">
        <f>SUM(OSRRefB6_2_0x_2)</f>
        <v>23075.75</v>
      </c>
      <c r="E22" s="6">
        <f>SUM(OSRRefB6_2_0x_3)</f>
        <v>25671.3</v>
      </c>
      <c r="F22" s="6">
        <f>SUM(OSRRefB6_2_0x_4)</f>
        <v>26925.37</v>
      </c>
      <c r="G22" s="6">
        <f t="shared" si="1"/>
        <v>98795.33</v>
      </c>
    </row>
    <row r="23" spans="1:7" outlineLevel="2" x14ac:dyDescent="0.25">
      <c r="A23" t="str">
        <f>("56000")&amp;" - "&amp;("EE Expense- Contract Labor")</f>
        <v>56000 - EE Expense- Contract Labor</v>
      </c>
      <c r="B23" s="2">
        <f>147.43+0</f>
        <v>147.43</v>
      </c>
      <c r="C23" s="2">
        <f>0+0</f>
        <v>0</v>
      </c>
      <c r="D23" s="2">
        <f>0+0</f>
        <v>0</v>
      </c>
      <c r="E23" s="2">
        <f>0+0</f>
        <v>0</v>
      </c>
      <c r="F23" s="2">
        <f>0+0</f>
        <v>0</v>
      </c>
      <c r="G23" s="2">
        <f t="shared" si="1"/>
        <v>147.43</v>
      </c>
    </row>
    <row r="24" spans="1:7" outlineLevel="2" x14ac:dyDescent="0.25">
      <c r="A24" t="str">
        <f>("56100")&amp;" - "&amp;("EE Expense- Goodwill")</f>
        <v>56100 - EE Expense- Goodwill</v>
      </c>
      <c r="B24" s="2">
        <f>143.63+0</f>
        <v>143.63</v>
      </c>
      <c r="C24" s="2">
        <f>374.99+0</f>
        <v>374.99</v>
      </c>
      <c r="D24" s="2">
        <f>78.1+0</f>
        <v>78.099999999999994</v>
      </c>
      <c r="E24" s="2">
        <f>214.14+0</f>
        <v>214.14</v>
      </c>
      <c r="F24" s="2">
        <f>771.75+0</f>
        <v>771.75</v>
      </c>
      <c r="G24" s="2">
        <f t="shared" si="1"/>
        <v>1582.6100000000001</v>
      </c>
    </row>
    <row r="25" spans="1:7" outlineLevel="2" x14ac:dyDescent="0.25">
      <c r="A25" t="str">
        <f>("56200")&amp;" - "&amp;("EE Expense- Education/Training")</f>
        <v>56200 - EE Expense- Education/Training</v>
      </c>
      <c r="B25" s="2">
        <f>0+0</f>
        <v>0</v>
      </c>
      <c r="C25" s="2">
        <f>0+0</f>
        <v>0</v>
      </c>
      <c r="D25" s="2">
        <f>0+0</f>
        <v>0</v>
      </c>
      <c r="E25" s="2">
        <f>0+0</f>
        <v>0</v>
      </c>
      <c r="F25" s="2">
        <f>2000+0</f>
        <v>2000</v>
      </c>
      <c r="G25" s="2">
        <f t="shared" si="1"/>
        <v>2000</v>
      </c>
    </row>
    <row r="26" spans="1:7" outlineLevel="2" x14ac:dyDescent="0.25">
      <c r="A26" t="str">
        <f>("56300")&amp;" - "&amp;("EE Expense- License Fees")</f>
        <v>56300 - EE Expense- License Fees</v>
      </c>
      <c r="B26" s="2">
        <f>221.2+0</f>
        <v>221.2</v>
      </c>
      <c r="C26" s="2">
        <f>0+0</f>
        <v>0</v>
      </c>
      <c r="D26" s="2">
        <f>0+0</f>
        <v>0</v>
      </c>
      <c r="E26" s="2">
        <f>1875+0</f>
        <v>1875</v>
      </c>
      <c r="F26" s="2">
        <f>370+0</f>
        <v>370</v>
      </c>
      <c r="G26" s="2">
        <f t="shared" si="1"/>
        <v>2466.1999999999998</v>
      </c>
    </row>
    <row r="27" spans="1:7" outlineLevel="2" x14ac:dyDescent="0.25">
      <c r="A27" t="str">
        <f>("56400")&amp;" - "&amp;("EE Expense- Recruiting")</f>
        <v>56400 - EE Expense- Recruiting</v>
      </c>
      <c r="B27" s="2">
        <f>468.43+0</f>
        <v>468.43</v>
      </c>
      <c r="C27" s="2">
        <f>-457.23+0</f>
        <v>-457.23</v>
      </c>
      <c r="D27" s="2">
        <f>1002.87+0</f>
        <v>1002.87</v>
      </c>
      <c r="E27" s="2">
        <f>374.09+0</f>
        <v>374.09</v>
      </c>
      <c r="F27" s="2">
        <f>385.19+0</f>
        <v>385.19</v>
      </c>
      <c r="G27" s="2">
        <f t="shared" si="1"/>
        <v>1773.35</v>
      </c>
    </row>
    <row r="28" spans="1:7" outlineLevel="1" x14ac:dyDescent="0.25">
      <c r="A28" s="5" t="s">
        <v>7</v>
      </c>
      <c r="B28" s="6">
        <f>SUM(OSRRefB6_2_1x_0)</f>
        <v>980.69</v>
      </c>
      <c r="C28" s="6">
        <f>SUM(OSRRefB6_2_1x_1)</f>
        <v>-82.240000000000009</v>
      </c>
      <c r="D28" s="6">
        <f>SUM(OSRRefB6_2_1x_2)</f>
        <v>1080.97</v>
      </c>
      <c r="E28" s="6">
        <f>SUM(OSRRefB6_2_1x_3)</f>
        <v>2463.23</v>
      </c>
      <c r="F28" s="6">
        <f>SUM(OSRRefB6_2_1x_4)</f>
        <v>3526.94</v>
      </c>
      <c r="G28" s="6">
        <f t="shared" si="1"/>
        <v>7969.59</v>
      </c>
    </row>
    <row r="29" spans="1:7" outlineLevel="2" x14ac:dyDescent="0.25">
      <c r="A29" t="str">
        <f>("53100")&amp;" - "&amp;("Incentive Pay- Other Bonus")</f>
        <v>53100 - Incentive Pay- Other Bonus</v>
      </c>
      <c r="B29" s="2">
        <f>123.36+0</f>
        <v>123.36</v>
      </c>
      <c r="C29" s="2">
        <f>0+0</f>
        <v>0</v>
      </c>
      <c r="D29" s="2">
        <f>0+0</f>
        <v>0</v>
      </c>
      <c r="E29" s="2">
        <f>0+0</f>
        <v>0</v>
      </c>
      <c r="F29" s="2">
        <f>0+0</f>
        <v>0</v>
      </c>
      <c r="G29" s="2">
        <f t="shared" si="1"/>
        <v>123.36</v>
      </c>
    </row>
    <row r="30" spans="1:7" outlineLevel="1" x14ac:dyDescent="0.25">
      <c r="A30" s="5" t="s">
        <v>8</v>
      </c>
      <c r="B30" s="6">
        <f>SUM(OSRRefB6_2_2x_0)</f>
        <v>123.36</v>
      </c>
      <c r="C30" s="6">
        <f>SUM(OSRRefB6_2_2x_1)</f>
        <v>0</v>
      </c>
      <c r="D30" s="6">
        <f>SUM(OSRRefB6_2_2x_2)</f>
        <v>0</v>
      </c>
      <c r="E30" s="6">
        <f>SUM(OSRRefB6_2_2x_3)</f>
        <v>0</v>
      </c>
      <c r="F30" s="6">
        <f>SUM(OSRRefB6_2_2x_4)</f>
        <v>0</v>
      </c>
      <c r="G30" s="6">
        <f t="shared" si="1"/>
        <v>123.36</v>
      </c>
    </row>
    <row r="31" spans="1:7" outlineLevel="2" x14ac:dyDescent="0.25">
      <c r="A31" t="str">
        <f>("54000")&amp;" - "&amp;("Payroll Taxes- FICA")</f>
        <v>54000 - Payroll Taxes- FICA</v>
      </c>
      <c r="B31" s="2">
        <f>28545.62+0</f>
        <v>28545.62</v>
      </c>
      <c r="C31" s="2">
        <f>28982.53+0</f>
        <v>28982.53</v>
      </c>
      <c r="D31" s="2">
        <f>26801.9+0</f>
        <v>26801.9</v>
      </c>
      <c r="E31" s="2">
        <f>26106.21+0</f>
        <v>26106.21</v>
      </c>
      <c r="F31" s="2">
        <f>30219.08+0</f>
        <v>30219.08</v>
      </c>
      <c r="G31" s="2">
        <f t="shared" si="1"/>
        <v>140655.33999999997</v>
      </c>
    </row>
    <row r="32" spans="1:7" outlineLevel="2" x14ac:dyDescent="0.25">
      <c r="A32" t="str">
        <f>("54100")&amp;" - "&amp;("Payroll Taxes- FUTA")</f>
        <v>54100 - Payroll Taxes- FUTA</v>
      </c>
      <c r="B32" s="2">
        <f>1850.68+0</f>
        <v>1850.68</v>
      </c>
      <c r="C32" s="2">
        <f>530.48+0</f>
        <v>530.48</v>
      </c>
      <c r="D32" s="2">
        <f>102.1+0</f>
        <v>102.1</v>
      </c>
      <c r="E32" s="2">
        <f>134.76+0</f>
        <v>134.76</v>
      </c>
      <c r="F32" s="2">
        <f>358.91+0</f>
        <v>358.91</v>
      </c>
      <c r="G32" s="2">
        <f t="shared" si="1"/>
        <v>2976.9299999999994</v>
      </c>
    </row>
    <row r="33" spans="1:7" outlineLevel="2" x14ac:dyDescent="0.25">
      <c r="A33" t="str">
        <f>("54200")&amp;" - "&amp;("Payroll Taxes- SUTA")</f>
        <v>54200 - Payroll Taxes- SUTA</v>
      </c>
      <c r="B33" s="2">
        <f>9860.06+0</f>
        <v>9860.06</v>
      </c>
      <c r="C33" s="2">
        <f>4686.12+0</f>
        <v>4686.12</v>
      </c>
      <c r="D33" s="2">
        <f>988.43+0</f>
        <v>988.43</v>
      </c>
      <c r="E33" s="2">
        <f>773.93+0</f>
        <v>773.93</v>
      </c>
      <c r="F33" s="2">
        <f>2172.31+0</f>
        <v>2172.31</v>
      </c>
      <c r="G33" s="2">
        <f t="shared" si="1"/>
        <v>18480.850000000002</v>
      </c>
    </row>
    <row r="34" spans="1:7" outlineLevel="1" x14ac:dyDescent="0.25">
      <c r="A34" s="5" t="s">
        <v>9</v>
      </c>
      <c r="B34" s="6">
        <f>SUM(OSRRefB6_2_3x_0)</f>
        <v>40256.36</v>
      </c>
      <c r="C34" s="6">
        <f>SUM(OSRRefB6_2_3x_1)</f>
        <v>34199.129999999997</v>
      </c>
      <c r="D34" s="6">
        <f>SUM(OSRRefB6_2_3x_2)</f>
        <v>27892.43</v>
      </c>
      <c r="E34" s="6">
        <f>SUM(OSRRefB6_2_3x_3)</f>
        <v>27014.899999999998</v>
      </c>
      <c r="F34" s="6">
        <f>SUM(OSRRefB6_2_3x_4)</f>
        <v>32750.300000000003</v>
      </c>
      <c r="G34" s="6">
        <f t="shared" si="1"/>
        <v>162113.12</v>
      </c>
    </row>
    <row r="35" spans="1:7" s="5" customFormat="1" x14ac:dyDescent="0.25">
      <c r="A35" s="5" t="str">
        <f>"Total "&amp;TRIM(MID("2C.Benefits",4,125))</f>
        <v>Total Benefits</v>
      </c>
      <c r="B35" s="7">
        <f>SUM(OSRRefB7_2x_0)</f>
        <v>42225.17</v>
      </c>
      <c r="C35" s="7">
        <f>SUM(OSRRefB7_2x_1)</f>
        <v>56375.039999999994</v>
      </c>
      <c r="D35" s="7">
        <f>SUM(OSRRefB7_2x_2)</f>
        <v>52049.15</v>
      </c>
      <c r="E35" s="7">
        <f>SUM(OSRRefB7_2x_3)</f>
        <v>55149.429999999993</v>
      </c>
      <c r="F35" s="7">
        <f>SUM(OSRRefB7_2x_4)</f>
        <v>63202.61</v>
      </c>
      <c r="G35" s="7">
        <f t="shared" si="1"/>
        <v>269001.39999999997</v>
      </c>
    </row>
    <row r="37" spans="1:7" outlineLevel="1" x14ac:dyDescent="0.25">
      <c r="A37" s="5" t="str">
        <f>TRIM(MID("2D.Travel",4,125))</f>
        <v>Travel</v>
      </c>
    </row>
    <row r="38" spans="1:7" outlineLevel="2" x14ac:dyDescent="0.25">
      <c r="A38" t="str">
        <f>("65000")&amp;" - "&amp;("Travel- Airfare")</f>
        <v>65000 - Travel- Airfare</v>
      </c>
      <c r="B38" s="2">
        <f>3939.28+0</f>
        <v>3939.28</v>
      </c>
      <c r="C38" s="2">
        <f t="shared" ref="C38:C45" si="2">0+0</f>
        <v>0</v>
      </c>
      <c r="D38" s="2">
        <f>569.31+0</f>
        <v>569.30999999999995</v>
      </c>
      <c r="E38" s="2">
        <f t="shared" ref="E38:F45" si="3">0+0</f>
        <v>0</v>
      </c>
      <c r="F38" s="2">
        <f t="shared" si="3"/>
        <v>0</v>
      </c>
      <c r="G38" s="2">
        <f t="shared" ref="G38:G47" si="4">SUM(B38:F38)</f>
        <v>4508.59</v>
      </c>
    </row>
    <row r="39" spans="1:7" outlineLevel="2" x14ac:dyDescent="0.25">
      <c r="A39" t="str">
        <f>("65020")&amp;" - "&amp;("Travel- Lodging")</f>
        <v>65020 - Travel- Lodging</v>
      </c>
      <c r="B39" s="2">
        <f>2923.39+0</f>
        <v>2923.39</v>
      </c>
      <c r="C39" s="2">
        <f t="shared" si="2"/>
        <v>0</v>
      </c>
      <c r="D39" s="2">
        <f>6906.59+0</f>
        <v>6906.59</v>
      </c>
      <c r="E39" s="2">
        <f t="shared" si="3"/>
        <v>0</v>
      </c>
      <c r="F39" s="2">
        <f t="shared" si="3"/>
        <v>0</v>
      </c>
      <c r="G39" s="2">
        <f t="shared" si="4"/>
        <v>9829.98</v>
      </c>
    </row>
    <row r="40" spans="1:7" outlineLevel="2" x14ac:dyDescent="0.25">
      <c r="A40" t="str">
        <f>("65050")&amp;" - "&amp;("Travel- Rental Car")</f>
        <v>65050 - Travel- Rental Car</v>
      </c>
      <c r="B40" s="2">
        <f>698.19+0</f>
        <v>698.19</v>
      </c>
      <c r="C40" s="2">
        <f t="shared" si="2"/>
        <v>0</v>
      </c>
      <c r="D40" s="2">
        <f>2238.07+0</f>
        <v>2238.0700000000002</v>
      </c>
      <c r="E40" s="2">
        <f t="shared" si="3"/>
        <v>0</v>
      </c>
      <c r="F40" s="2">
        <f t="shared" si="3"/>
        <v>0</v>
      </c>
      <c r="G40" s="2">
        <f t="shared" si="4"/>
        <v>2936.26</v>
      </c>
    </row>
    <row r="41" spans="1:7" outlineLevel="2" x14ac:dyDescent="0.25">
      <c r="A41" t="str">
        <f>("65075")&amp;" - "&amp;("Travel- Leased Vehicle")</f>
        <v>65075 - Travel- Leased Vehicle</v>
      </c>
      <c r="B41" s="2">
        <f>63.16+0</f>
        <v>63.16</v>
      </c>
      <c r="C41" s="2">
        <f t="shared" si="2"/>
        <v>0</v>
      </c>
      <c r="D41" s="2">
        <f>0+0</f>
        <v>0</v>
      </c>
      <c r="E41" s="2">
        <f t="shared" si="3"/>
        <v>0</v>
      </c>
      <c r="F41" s="2">
        <f t="shared" si="3"/>
        <v>0</v>
      </c>
      <c r="G41" s="2">
        <f t="shared" si="4"/>
        <v>63.16</v>
      </c>
    </row>
    <row r="42" spans="1:7" outlineLevel="2" x14ac:dyDescent="0.25">
      <c r="A42" t="str">
        <f>("65150")&amp;" - "&amp;("Travel- Parking")</f>
        <v>65150 - Travel- Parking</v>
      </c>
      <c r="B42" s="2">
        <f>411.56+0</f>
        <v>411.56</v>
      </c>
      <c r="C42" s="2">
        <f t="shared" si="2"/>
        <v>0</v>
      </c>
      <c r="D42" s="2">
        <f>31.05+0</f>
        <v>31.05</v>
      </c>
      <c r="E42" s="2">
        <f t="shared" si="3"/>
        <v>0</v>
      </c>
      <c r="F42" s="2">
        <f t="shared" si="3"/>
        <v>0</v>
      </c>
      <c r="G42" s="2">
        <f t="shared" si="4"/>
        <v>442.61</v>
      </c>
    </row>
    <row r="43" spans="1:7" outlineLevel="2" x14ac:dyDescent="0.25">
      <c r="A43" t="str">
        <f>("65175")&amp;" - "&amp;("Travel- Meals")</f>
        <v>65175 - Travel- Meals</v>
      </c>
      <c r="B43" s="2">
        <f>956.35+0</f>
        <v>956.35</v>
      </c>
      <c r="C43" s="2">
        <f t="shared" si="2"/>
        <v>0</v>
      </c>
      <c r="D43" s="2">
        <f>0+0</f>
        <v>0</v>
      </c>
      <c r="E43" s="2">
        <f t="shared" si="3"/>
        <v>0</v>
      </c>
      <c r="F43" s="2">
        <f t="shared" si="3"/>
        <v>0</v>
      </c>
      <c r="G43" s="2">
        <f t="shared" si="4"/>
        <v>956.35</v>
      </c>
    </row>
    <row r="44" spans="1:7" outlineLevel="2" x14ac:dyDescent="0.25">
      <c r="A44" t="str">
        <f>("65225")&amp;" - "&amp;("Travel- Other")</f>
        <v>65225 - Travel- Other</v>
      </c>
      <c r="B44" s="2">
        <f>3.49+0</f>
        <v>3.49</v>
      </c>
      <c r="C44" s="2">
        <f t="shared" si="2"/>
        <v>0</v>
      </c>
      <c r="D44" s="2">
        <f>0+0</f>
        <v>0</v>
      </c>
      <c r="E44" s="2">
        <f t="shared" si="3"/>
        <v>0</v>
      </c>
      <c r="F44" s="2">
        <f t="shared" si="3"/>
        <v>0</v>
      </c>
      <c r="G44" s="2">
        <f t="shared" si="4"/>
        <v>3.49</v>
      </c>
    </row>
    <row r="45" spans="1:7" outlineLevel="2" x14ac:dyDescent="0.25">
      <c r="A45" t="str">
        <f>("65250")&amp;" - "&amp;("Travel- Entertainment")</f>
        <v>65250 - Travel- Entertainment</v>
      </c>
      <c r="B45" s="2">
        <f>508.92+0</f>
        <v>508.92</v>
      </c>
      <c r="C45" s="2">
        <f t="shared" si="2"/>
        <v>0</v>
      </c>
      <c r="D45" s="2">
        <f>0+0</f>
        <v>0</v>
      </c>
      <c r="E45" s="2">
        <f t="shared" si="3"/>
        <v>0</v>
      </c>
      <c r="F45" s="2">
        <f t="shared" si="3"/>
        <v>0</v>
      </c>
      <c r="G45" s="2">
        <f t="shared" si="4"/>
        <v>508.92</v>
      </c>
    </row>
    <row r="46" spans="1:7" outlineLevel="1" x14ac:dyDescent="0.25">
      <c r="A46" s="5" t="s">
        <v>10</v>
      </c>
      <c r="B46" s="6">
        <f>SUM(OSRRefB6_3_0x_0)</f>
        <v>9504.34</v>
      </c>
      <c r="C46" s="6">
        <f>SUM(OSRRefB6_3_0x_1)</f>
        <v>0</v>
      </c>
      <c r="D46" s="6">
        <f>SUM(OSRRefB6_3_0x_2)</f>
        <v>9745.0199999999986</v>
      </c>
      <c r="E46" s="6">
        <f>SUM(OSRRefB6_3_0x_3)</f>
        <v>0</v>
      </c>
      <c r="F46" s="6">
        <f>SUM(OSRRefB6_3_0x_4)</f>
        <v>0</v>
      </c>
      <c r="G46" s="6">
        <f t="shared" si="4"/>
        <v>19249.36</v>
      </c>
    </row>
    <row r="47" spans="1:7" s="5" customFormat="1" x14ac:dyDescent="0.25">
      <c r="A47" s="5" t="str">
        <f>"Total "&amp;TRIM(MID("2D.Travel",4,125))</f>
        <v>Total Travel</v>
      </c>
      <c r="B47" s="7">
        <f>SUM(OSRRefB7_3x_0)</f>
        <v>9504.34</v>
      </c>
      <c r="C47" s="7">
        <f>SUM(OSRRefB7_3x_1)</f>
        <v>0</v>
      </c>
      <c r="D47" s="7">
        <f>SUM(OSRRefB7_3x_2)</f>
        <v>9745.0199999999986</v>
      </c>
      <c r="E47" s="7">
        <f>SUM(OSRRefB7_3x_3)</f>
        <v>0</v>
      </c>
      <c r="F47" s="7">
        <f>SUM(OSRRefB7_3x_4)</f>
        <v>0</v>
      </c>
      <c r="G47" s="7">
        <f t="shared" si="4"/>
        <v>19249.36</v>
      </c>
    </row>
    <row r="49" spans="1:7" outlineLevel="1" x14ac:dyDescent="0.25">
      <c r="A49" s="5" t="s">
        <v>11</v>
      </c>
    </row>
    <row r="50" spans="1:7" x14ac:dyDescent="0.25">
      <c r="A50" s="5"/>
    </row>
    <row r="51" spans="1:7" outlineLevel="1" x14ac:dyDescent="0.25">
      <c r="A51" s="5" t="str">
        <f>TRIM(MID("2F.On-Site Professional Services",4,125))</f>
        <v>On-Site Professional Services</v>
      </c>
    </row>
    <row r="52" spans="1:7" outlineLevel="2" x14ac:dyDescent="0.25">
      <c r="A52" t="str">
        <f>("52710")&amp;" - "&amp;("On-Site PF- Med Support (AP)")</f>
        <v>52710 - On-Site PF- Med Support (AP)</v>
      </c>
      <c r="B52" s="2">
        <f>0+0</f>
        <v>0</v>
      </c>
      <c r="C52" s="2">
        <f>660+0</f>
        <v>660</v>
      </c>
      <c r="D52" s="2">
        <f>660+0</f>
        <v>660</v>
      </c>
      <c r="E52" s="2">
        <f>1320+0</f>
        <v>1320</v>
      </c>
      <c r="F52" s="2">
        <f>990+0</f>
        <v>990</v>
      </c>
      <c r="G52" s="2">
        <f>SUM(B52:F52)</f>
        <v>3630</v>
      </c>
    </row>
    <row r="53" spans="1:7" outlineLevel="2" x14ac:dyDescent="0.25">
      <c r="A53" t="str">
        <f>("52810")&amp;" - "&amp;("On-Site PF- Telemedicine (AP)")</f>
        <v>52810 - On-Site PF- Telemedicine (AP)</v>
      </c>
      <c r="B53" s="2">
        <f>0+0</f>
        <v>0</v>
      </c>
      <c r="C53" s="2">
        <f>0+0</f>
        <v>0</v>
      </c>
      <c r="D53" s="2">
        <f>3500+0</f>
        <v>3500</v>
      </c>
      <c r="E53" s="2">
        <f>1750+0</f>
        <v>1750</v>
      </c>
      <c r="F53" s="2">
        <f>0+0</f>
        <v>0</v>
      </c>
      <c r="G53" s="2">
        <f>SUM(B53:F53)</f>
        <v>5250</v>
      </c>
    </row>
    <row r="54" spans="1:7" outlineLevel="1" x14ac:dyDescent="0.25">
      <c r="A54" s="5" t="s">
        <v>12</v>
      </c>
      <c r="B54" s="6">
        <f>SUM(OSRRefB13_0_0x_0)</f>
        <v>0</v>
      </c>
      <c r="C54" s="6">
        <f>SUM(OSRRefB13_0_0x_1)</f>
        <v>660</v>
      </c>
      <c r="D54" s="6">
        <f>SUM(OSRRefB13_0_0x_2)</f>
        <v>4160</v>
      </c>
      <c r="E54" s="6">
        <f>SUM(OSRRefB13_0_0x_3)</f>
        <v>3070</v>
      </c>
      <c r="F54" s="6">
        <f>SUM(OSRRefB13_0_0x_4)</f>
        <v>990</v>
      </c>
      <c r="G54" s="6">
        <f>SUM(B54:F54)</f>
        <v>8880</v>
      </c>
    </row>
    <row r="55" spans="1:7" s="5" customFormat="1" x14ac:dyDescent="0.25">
      <c r="A55" s="5" t="str">
        <f>"Total "&amp;TRIM(MID("2F.On-Site Professional Services",4,125))</f>
        <v>Total On-Site Professional Services</v>
      </c>
      <c r="B55" s="7">
        <f>SUM(OSRRefB14_0x_0)</f>
        <v>0</v>
      </c>
      <c r="C55" s="7">
        <f>SUM(OSRRefB14_0x_1)</f>
        <v>660</v>
      </c>
      <c r="D55" s="7">
        <f>SUM(OSRRefB14_0x_2)</f>
        <v>4160</v>
      </c>
      <c r="E55" s="7">
        <f>SUM(OSRRefB14_0x_3)</f>
        <v>3070</v>
      </c>
      <c r="F55" s="7">
        <f>SUM(OSRRefB14_0x_4)</f>
        <v>990</v>
      </c>
      <c r="G55" s="7">
        <f>SUM(B55:F55)</f>
        <v>8880</v>
      </c>
    </row>
    <row r="57" spans="1:7" outlineLevel="1" x14ac:dyDescent="0.25">
      <c r="A57" s="5" t="str">
        <f>TRIM(MID("2G.Pharmacy Supplies",4,125))</f>
        <v>Pharmacy Supplies</v>
      </c>
    </row>
    <row r="58" spans="1:7" outlineLevel="2" x14ac:dyDescent="0.25">
      <c r="A58" t="str">
        <f>("61000")&amp;" - "&amp;("Pharmacy- HIV")</f>
        <v>61000 - Pharmacy- HIV</v>
      </c>
      <c r="B58" s="2">
        <f>74036.43+0</f>
        <v>74036.429999999993</v>
      </c>
      <c r="C58" s="2">
        <f>82194.57+0</f>
        <v>82194.570000000007</v>
      </c>
      <c r="D58" s="2">
        <f>15618.83+0</f>
        <v>15618.83</v>
      </c>
      <c r="E58" s="2">
        <f>61559.56+0</f>
        <v>61559.56</v>
      </c>
      <c r="F58" s="2">
        <f>69586.41+0</f>
        <v>69586.41</v>
      </c>
      <c r="G58" s="2">
        <f t="shared" ref="G58:G72" si="5">SUM(B58:F58)</f>
        <v>302995.8</v>
      </c>
    </row>
    <row r="59" spans="1:7" outlineLevel="2" x14ac:dyDescent="0.25">
      <c r="A59" t="str">
        <f>("61050")&amp;" - "&amp;("Pharmacy- Psychiatric")</f>
        <v>61050 - Pharmacy- Psychiatric</v>
      </c>
      <c r="B59" s="2">
        <f>51975.8+0</f>
        <v>51975.8</v>
      </c>
      <c r="C59" s="2">
        <f>26244.76+0</f>
        <v>26244.76</v>
      </c>
      <c r="D59" s="2">
        <f>29802.8+0</f>
        <v>29802.799999999999</v>
      </c>
      <c r="E59" s="2">
        <f>17831.16+0</f>
        <v>17831.16</v>
      </c>
      <c r="F59" s="2">
        <f>27460.61+0</f>
        <v>27460.61</v>
      </c>
      <c r="G59" s="2">
        <f t="shared" si="5"/>
        <v>153315.13</v>
      </c>
    </row>
    <row r="60" spans="1:7" outlineLevel="2" x14ac:dyDescent="0.25">
      <c r="A60" t="str">
        <f>("61250")&amp;" - "&amp;("Pharmacy- Biological")</f>
        <v>61250 - Pharmacy- Biological</v>
      </c>
      <c r="B60" s="2">
        <f>5600.01+0</f>
        <v>5600.01</v>
      </c>
      <c r="C60" s="2">
        <f>3918.65+0</f>
        <v>3918.65</v>
      </c>
      <c r="D60" s="2">
        <f>2228.02+0</f>
        <v>2228.02</v>
      </c>
      <c r="E60" s="2">
        <f>2420.91+0</f>
        <v>2420.91</v>
      </c>
      <c r="F60" s="2">
        <f>4002.91+0</f>
        <v>4002.91</v>
      </c>
      <c r="G60" s="2">
        <f t="shared" si="5"/>
        <v>18170.5</v>
      </c>
    </row>
    <row r="61" spans="1:7" outlineLevel="2" x14ac:dyDescent="0.25">
      <c r="A61" t="str">
        <f>("61455")&amp;" - "&amp;("Pulmonary")</f>
        <v>61455 - Pulmonary</v>
      </c>
      <c r="B61" s="2">
        <f>2261.87+0</f>
        <v>2261.87</v>
      </c>
      <c r="C61" s="2">
        <f>606.34+0</f>
        <v>606.34</v>
      </c>
      <c r="D61" s="2">
        <f>821.12+0</f>
        <v>821.12</v>
      </c>
      <c r="E61" s="2">
        <f>2053.98+0</f>
        <v>2053.98</v>
      </c>
      <c r="F61" s="2">
        <f>1252.79+0</f>
        <v>1252.79</v>
      </c>
      <c r="G61" s="2">
        <f t="shared" si="5"/>
        <v>6996.0999999999995</v>
      </c>
    </row>
    <row r="62" spans="1:7" outlineLevel="2" x14ac:dyDescent="0.25">
      <c r="A62" t="str">
        <f>("61475")&amp;" - "&amp;("Pharmacy- Other")</f>
        <v>61475 - Pharmacy- Other</v>
      </c>
      <c r="B62" s="2">
        <f>14230.9+0</f>
        <v>14230.9</v>
      </c>
      <c r="C62" s="2">
        <f>12345.42+0</f>
        <v>12345.42</v>
      </c>
      <c r="D62" s="2">
        <f>15551.49+0</f>
        <v>15551.49</v>
      </c>
      <c r="E62" s="2">
        <f>15092.08+0</f>
        <v>15092.08</v>
      </c>
      <c r="F62" s="2">
        <f>13845.23+0</f>
        <v>13845.23</v>
      </c>
      <c r="G62" s="2">
        <f t="shared" si="5"/>
        <v>71065.119999999995</v>
      </c>
    </row>
    <row r="63" spans="1:7" outlineLevel="2" x14ac:dyDescent="0.25">
      <c r="A63" t="str">
        <f>("61480")&amp;" - "&amp;("Pharmacy - Estimate Accrual")</f>
        <v>61480 - Pharmacy - Estimate Accrual</v>
      </c>
      <c r="B63" s="2">
        <f>265.55+0</f>
        <v>265.55</v>
      </c>
      <c r="C63" s="2">
        <f>0+0</f>
        <v>0</v>
      </c>
      <c r="D63" s="2">
        <f>467.84+0</f>
        <v>467.84</v>
      </c>
      <c r="E63" s="2">
        <f>608.79+0</f>
        <v>608.79</v>
      </c>
      <c r="F63" s="2">
        <f>290.92+0</f>
        <v>290.92</v>
      </c>
      <c r="G63" s="2">
        <f t="shared" si="5"/>
        <v>1633.1</v>
      </c>
    </row>
    <row r="64" spans="1:7" outlineLevel="2" x14ac:dyDescent="0.25">
      <c r="A64" t="str">
        <f>("61498")&amp;" - "&amp;("Pharmacy Inventory Adjustment")</f>
        <v>61498 - Pharmacy Inventory Adjustment</v>
      </c>
      <c r="B64" s="2">
        <f>0+0</f>
        <v>0</v>
      </c>
      <c r="C64" s="2">
        <f>0+0</f>
        <v>0</v>
      </c>
      <c r="D64" s="2">
        <f>0+0</f>
        <v>0</v>
      </c>
      <c r="E64" s="2">
        <f>0+0</f>
        <v>0</v>
      </c>
      <c r="F64" s="2">
        <f>-214893.69+0</f>
        <v>-214893.69</v>
      </c>
      <c r="G64" s="2">
        <f t="shared" si="5"/>
        <v>-214893.69</v>
      </c>
    </row>
    <row r="65" spans="1:7" outlineLevel="1" x14ac:dyDescent="0.25">
      <c r="A65" s="5" t="s">
        <v>13</v>
      </c>
      <c r="B65" s="6">
        <f>SUM(OSRRefB13_1_0x_0)</f>
        <v>148370.55999999997</v>
      </c>
      <c r="C65" s="6">
        <f>SUM(OSRRefB13_1_0x_1)</f>
        <v>125309.73999999999</v>
      </c>
      <c r="D65" s="6">
        <f>SUM(OSRRefB13_1_0x_2)</f>
        <v>64490.099999999991</v>
      </c>
      <c r="E65" s="6">
        <f>SUM(OSRRefB13_1_0x_3)</f>
        <v>99566.48</v>
      </c>
      <c r="F65" s="6">
        <f>SUM(OSRRefB13_1_0x_4)</f>
        <v>-98454.82</v>
      </c>
      <c r="G65" s="6">
        <f t="shared" si="5"/>
        <v>339282.05999999988</v>
      </c>
    </row>
    <row r="66" spans="1:7" outlineLevel="2" x14ac:dyDescent="0.25">
      <c r="A66" t="str">
        <f>("61009")&amp;" - "&amp;("Pharmacy-HIV-Returns")</f>
        <v>61009 - Pharmacy-HIV-Returns</v>
      </c>
      <c r="B66" s="2">
        <f t="shared" ref="B66:C70" si="6">0+0</f>
        <v>0</v>
      </c>
      <c r="C66" s="2">
        <f t="shared" si="6"/>
        <v>0</v>
      </c>
      <c r="D66" s="2">
        <f>-25984.39+0</f>
        <v>-25984.39</v>
      </c>
      <c r="E66" s="2">
        <f>-6131.46+0</f>
        <v>-6131.46</v>
      </c>
      <c r="F66" s="2">
        <f>-9749.67+0</f>
        <v>-9749.67</v>
      </c>
      <c r="G66" s="2">
        <f t="shared" si="5"/>
        <v>-41865.519999999997</v>
      </c>
    </row>
    <row r="67" spans="1:7" outlineLevel="2" x14ac:dyDescent="0.25">
      <c r="A67" t="str">
        <f>("61059")&amp;" - "&amp;("Pharmacy-Psychiatric-Returns")</f>
        <v>61059 - Pharmacy-Psychiatric-Returns</v>
      </c>
      <c r="B67" s="2">
        <f t="shared" si="6"/>
        <v>0</v>
      </c>
      <c r="C67" s="2">
        <f t="shared" si="6"/>
        <v>0</v>
      </c>
      <c r="D67" s="2">
        <f>-58+0</f>
        <v>-58</v>
      </c>
      <c r="E67" s="2">
        <f>-177.3+0</f>
        <v>-177.3</v>
      </c>
      <c r="F67" s="2">
        <f>-1318.99+0</f>
        <v>-1318.99</v>
      </c>
      <c r="G67" s="2">
        <f t="shared" si="5"/>
        <v>-1554.29</v>
      </c>
    </row>
    <row r="68" spans="1:7" outlineLevel="2" x14ac:dyDescent="0.25">
      <c r="A68" t="str">
        <f>("61259")&amp;" - "&amp;("Pharmacy-Biological-Returns")</f>
        <v>61259 - Pharmacy-Biological-Returns</v>
      </c>
      <c r="B68" s="2">
        <f t="shared" si="6"/>
        <v>0</v>
      </c>
      <c r="C68" s="2">
        <f t="shared" si="6"/>
        <v>0</v>
      </c>
      <c r="D68" s="2">
        <f>-524.45+0</f>
        <v>-524.45000000000005</v>
      </c>
      <c r="E68" s="2">
        <f>-1387.73+0</f>
        <v>-1387.73</v>
      </c>
      <c r="F68" s="2">
        <f>-524.45+0</f>
        <v>-524.45000000000005</v>
      </c>
      <c r="G68" s="2">
        <f t="shared" si="5"/>
        <v>-2436.63</v>
      </c>
    </row>
    <row r="69" spans="1:7" outlineLevel="2" x14ac:dyDescent="0.25">
      <c r="A69" t="str">
        <f>("61469")&amp;" - "&amp;("Pharmacy-Pulmonary-Returns")</f>
        <v>61469 - Pharmacy-Pulmonary-Returns</v>
      </c>
      <c r="B69" s="2">
        <f t="shared" si="6"/>
        <v>0</v>
      </c>
      <c r="C69" s="2">
        <f t="shared" si="6"/>
        <v>0</v>
      </c>
      <c r="D69" s="2">
        <f>0+0</f>
        <v>0</v>
      </c>
      <c r="E69" s="2">
        <f>0+0</f>
        <v>0</v>
      </c>
      <c r="F69" s="2">
        <f>-519.89+0</f>
        <v>-519.89</v>
      </c>
      <c r="G69" s="2">
        <f t="shared" si="5"/>
        <v>-519.89</v>
      </c>
    </row>
    <row r="70" spans="1:7" outlineLevel="2" x14ac:dyDescent="0.25">
      <c r="A70" t="str">
        <f>("61479")&amp;" - "&amp;("Pharmacy-Other-Returns")</f>
        <v>61479 - Pharmacy-Other-Returns</v>
      </c>
      <c r="B70" s="2">
        <f t="shared" si="6"/>
        <v>0</v>
      </c>
      <c r="C70" s="2">
        <f t="shared" si="6"/>
        <v>0</v>
      </c>
      <c r="D70" s="2">
        <f>-36.69+0</f>
        <v>-36.69</v>
      </c>
      <c r="E70" s="2">
        <f>-533.37+0</f>
        <v>-533.37</v>
      </c>
      <c r="F70" s="2">
        <f>-394.51+0</f>
        <v>-394.51</v>
      </c>
      <c r="G70" s="2">
        <f t="shared" si="5"/>
        <v>-964.56999999999994</v>
      </c>
    </row>
    <row r="71" spans="1:7" outlineLevel="1" x14ac:dyDescent="0.25">
      <c r="A71" s="5" t="s">
        <v>14</v>
      </c>
      <c r="B71" s="6">
        <f>SUM(OSRRefB13_1_1x_0)</f>
        <v>0</v>
      </c>
      <c r="C71" s="6">
        <f>SUM(OSRRefB13_1_1x_1)</f>
        <v>0</v>
      </c>
      <c r="D71" s="6">
        <f>SUM(OSRRefB13_1_1x_2)</f>
        <v>-26603.53</v>
      </c>
      <c r="E71" s="6">
        <f>SUM(OSRRefB13_1_1x_3)</f>
        <v>-8229.86</v>
      </c>
      <c r="F71" s="6">
        <f>SUM(OSRRefB13_1_1x_4)</f>
        <v>-12507.51</v>
      </c>
      <c r="G71" s="6">
        <f t="shared" si="5"/>
        <v>-47340.9</v>
      </c>
    </row>
    <row r="72" spans="1:7" s="5" customFormat="1" x14ac:dyDescent="0.25">
      <c r="A72" s="5" t="str">
        <f>"Total "&amp;TRIM(MID("2G.Pharmacy Supplies",4,125))</f>
        <v>Total Pharmacy Supplies</v>
      </c>
      <c r="B72" s="7">
        <f>SUM(OSRRefB14_1x_0)</f>
        <v>148370.55999999997</v>
      </c>
      <c r="C72" s="7">
        <f>SUM(OSRRefB14_1x_1)</f>
        <v>125309.73999999999</v>
      </c>
      <c r="D72" s="7">
        <f>SUM(OSRRefB14_1x_2)</f>
        <v>37886.569999999992</v>
      </c>
      <c r="E72" s="7">
        <f>SUM(OSRRefB14_1x_3)</f>
        <v>91336.62</v>
      </c>
      <c r="F72" s="7">
        <f>SUM(OSRRefB14_1x_4)</f>
        <v>-110962.33</v>
      </c>
      <c r="G72" s="7">
        <f t="shared" si="5"/>
        <v>291941.15999999992</v>
      </c>
    </row>
    <row r="74" spans="1:7" outlineLevel="1" x14ac:dyDescent="0.25">
      <c r="A74" s="5" t="str">
        <f>TRIM(MID("2H.Other On-Site",4,125))</f>
        <v>Other On-Site</v>
      </c>
    </row>
    <row r="75" spans="1:7" outlineLevel="2" x14ac:dyDescent="0.25">
      <c r="A75" t="str">
        <f>("61500")&amp;" - "&amp;("On-Site Med.- X-ray")</f>
        <v>61500 - On-Site Med.- X-ray</v>
      </c>
      <c r="B75" s="2">
        <f>0+0</f>
        <v>0</v>
      </c>
      <c r="C75" s="2">
        <f>4402.43+0</f>
        <v>4402.43</v>
      </c>
      <c r="D75" s="2">
        <f>2462.78+0</f>
        <v>2462.7800000000002</v>
      </c>
      <c r="E75" s="2">
        <f>3578.06+0</f>
        <v>3578.06</v>
      </c>
      <c r="F75" s="2">
        <f>3075.28+0</f>
        <v>3075.28</v>
      </c>
      <c r="G75" s="2">
        <f t="shared" ref="G75:G83" si="7">SUM(B75:F75)</f>
        <v>13518.550000000001</v>
      </c>
    </row>
    <row r="76" spans="1:7" outlineLevel="2" x14ac:dyDescent="0.25">
      <c r="A76" t="str">
        <f>("61550")&amp;" - "&amp;("On-Site Med.- Lab Services")</f>
        <v>61550 - On-Site Med.- Lab Services</v>
      </c>
      <c r="B76" s="2">
        <f>0+0</f>
        <v>0</v>
      </c>
      <c r="C76" s="2">
        <f>1289.36+0</f>
        <v>1289.3599999999999</v>
      </c>
      <c r="D76" s="2">
        <f>3930.59+0</f>
        <v>3930.59</v>
      </c>
      <c r="E76" s="2">
        <f>3811.06+0</f>
        <v>3811.06</v>
      </c>
      <c r="F76" s="2">
        <f>5086.38+0</f>
        <v>5086.38</v>
      </c>
      <c r="G76" s="2">
        <f t="shared" si="7"/>
        <v>14117.39</v>
      </c>
    </row>
    <row r="77" spans="1:7" outlineLevel="2" x14ac:dyDescent="0.25">
      <c r="A77" t="str">
        <f>("61600")&amp;" - "&amp;("On-Site Med.- Dialysis")</f>
        <v>61600 - On-Site Med.- Dialysis</v>
      </c>
      <c r="B77" s="2">
        <f>0+0</f>
        <v>0</v>
      </c>
      <c r="C77" s="2">
        <f>0+0</f>
        <v>0</v>
      </c>
      <c r="D77" s="2">
        <f>11000+0</f>
        <v>11000</v>
      </c>
      <c r="E77" s="2">
        <f>14200+0</f>
        <v>14200</v>
      </c>
      <c r="F77" s="2">
        <f>13400+0</f>
        <v>13400</v>
      </c>
      <c r="G77" s="2">
        <f t="shared" si="7"/>
        <v>38600</v>
      </c>
    </row>
    <row r="78" spans="1:7" outlineLevel="2" x14ac:dyDescent="0.25">
      <c r="A78" t="str">
        <f>("61650")&amp;" - "&amp;("On-Site Med.- Med. Supplies")</f>
        <v>61650 - On-Site Med.- Med. Supplies</v>
      </c>
      <c r="B78" s="2">
        <f>2672.76+0</f>
        <v>2672.76</v>
      </c>
      <c r="C78" s="2">
        <f>7158.66+0</f>
        <v>7158.66</v>
      </c>
      <c r="D78" s="2">
        <f>18746.22+0</f>
        <v>18746.22</v>
      </c>
      <c r="E78" s="2">
        <f>8411.24+0</f>
        <v>8411.24</v>
      </c>
      <c r="F78" s="2">
        <f>8871.29+0</f>
        <v>8871.2900000000009</v>
      </c>
      <c r="G78" s="2">
        <f t="shared" si="7"/>
        <v>45860.17</v>
      </c>
    </row>
    <row r="79" spans="1:7" outlineLevel="2" x14ac:dyDescent="0.25">
      <c r="A79" t="str">
        <f>("61700")&amp;" - "&amp;("On-Site Med.- Dental Supplies")</f>
        <v>61700 - On-Site Med.- Dental Supplies</v>
      </c>
      <c r="B79" s="2">
        <f>0+0</f>
        <v>0</v>
      </c>
      <c r="C79" s="2">
        <f>3045.62+0</f>
        <v>3045.62</v>
      </c>
      <c r="D79" s="2">
        <f>161.62+0</f>
        <v>161.62</v>
      </c>
      <c r="E79" s="2">
        <f>1461.89+0</f>
        <v>1461.89</v>
      </c>
      <c r="F79" s="2">
        <f>-561.3+0</f>
        <v>-561.29999999999995</v>
      </c>
      <c r="G79" s="2">
        <f t="shared" si="7"/>
        <v>4107.83</v>
      </c>
    </row>
    <row r="80" spans="1:7" outlineLevel="2" x14ac:dyDescent="0.25">
      <c r="A80" t="str">
        <f>("61750")&amp;" - "&amp;("On-Site Med.- Bio Hazard")</f>
        <v>61750 - On-Site Med.- Bio Hazard</v>
      </c>
      <c r="B80" s="2">
        <f>0+0</f>
        <v>0</v>
      </c>
      <c r="C80" s="2">
        <f>0+0</f>
        <v>0</v>
      </c>
      <c r="D80" s="2">
        <f>0+0</f>
        <v>0</v>
      </c>
      <c r="E80" s="2">
        <f>0+0</f>
        <v>0</v>
      </c>
      <c r="F80" s="2">
        <f>205.24+0</f>
        <v>205.24</v>
      </c>
      <c r="G80" s="2">
        <f t="shared" si="7"/>
        <v>205.24</v>
      </c>
    </row>
    <row r="81" spans="1:13" outlineLevel="2" x14ac:dyDescent="0.25">
      <c r="A81" t="str">
        <f>("61800")&amp;" - "&amp;("On-Site Med.- Other")</f>
        <v>61800 - On-Site Med.- Other</v>
      </c>
      <c r="B81" s="2">
        <f>0.76+0</f>
        <v>0.76</v>
      </c>
      <c r="C81" s="2">
        <f>1178.76+0</f>
        <v>1178.76</v>
      </c>
      <c r="D81" s="2">
        <f>0+0</f>
        <v>0</v>
      </c>
      <c r="E81" s="2">
        <f>0+0</f>
        <v>0</v>
      </c>
      <c r="F81" s="2">
        <f>4177.72+0</f>
        <v>4177.72</v>
      </c>
      <c r="G81" s="2">
        <f t="shared" si="7"/>
        <v>5357.24</v>
      </c>
    </row>
    <row r="82" spans="1:13" outlineLevel="1" x14ac:dyDescent="0.25">
      <c r="A82" s="5" t="s">
        <v>15</v>
      </c>
      <c r="B82" s="6">
        <f>SUM(OSRRefB13_2_0x_0)</f>
        <v>2673.5200000000004</v>
      </c>
      <c r="C82" s="6">
        <f>SUM(OSRRefB13_2_0x_1)</f>
        <v>17074.829999999998</v>
      </c>
      <c r="D82" s="6">
        <f>SUM(OSRRefB13_2_0x_2)</f>
        <v>36301.210000000006</v>
      </c>
      <c r="E82" s="6">
        <f>SUM(OSRRefB13_2_0x_3)</f>
        <v>31462.25</v>
      </c>
      <c r="F82" s="6">
        <f>SUM(OSRRefB13_2_0x_4)</f>
        <v>34254.61</v>
      </c>
      <c r="G82" s="6">
        <f t="shared" si="7"/>
        <v>121766.42</v>
      </c>
    </row>
    <row r="83" spans="1:13" s="5" customFormat="1" x14ac:dyDescent="0.25">
      <c r="A83" s="5" t="str">
        <f>"Total "&amp;TRIM(MID("2H.Other On-Site",4,125))</f>
        <v>Total Other On-Site</v>
      </c>
      <c r="B83" s="7">
        <f>SUM(OSRRefB14_2x_0)</f>
        <v>2673.5200000000004</v>
      </c>
      <c r="C83" s="7">
        <f>SUM(OSRRefB14_2x_1)</f>
        <v>17074.829999999998</v>
      </c>
      <c r="D83" s="7">
        <f>SUM(OSRRefB14_2x_2)</f>
        <v>36301.210000000006</v>
      </c>
      <c r="E83" s="7">
        <f>SUM(OSRRefB14_2x_3)</f>
        <v>31462.25</v>
      </c>
      <c r="F83" s="7">
        <f>SUM(OSRRefB14_2x_4)</f>
        <v>34254.61</v>
      </c>
      <c r="G83" s="7">
        <f t="shared" si="7"/>
        <v>121766.42</v>
      </c>
    </row>
    <row r="85" spans="1:13" outlineLevel="1" x14ac:dyDescent="0.25">
      <c r="A85" s="5" t="str">
        <f>TRIM(MID("2J.Off-Site Services",4,125))</f>
        <v>Off-Site Services</v>
      </c>
    </row>
    <row r="86" spans="1:13" outlineLevel="2" x14ac:dyDescent="0.25">
      <c r="A86" t="str">
        <f>("68000")&amp;" - "&amp;("Offsite- Inpatient Hospitaliza")</f>
        <v>68000 - Offsite- Inpatient Hospitaliza</v>
      </c>
      <c r="B86" s="2">
        <f t="shared" ref="B86:C93" si="8">0+0</f>
        <v>0</v>
      </c>
      <c r="C86" s="2">
        <f t="shared" si="8"/>
        <v>0</v>
      </c>
      <c r="D86" s="2">
        <f>824.76+0</f>
        <v>824.76</v>
      </c>
      <c r="E86" s="2">
        <v>17130.64</v>
      </c>
      <c r="F86" s="2">
        <f>8804.91+0</f>
        <v>8804.91</v>
      </c>
      <c r="G86" s="2">
        <f t="shared" ref="G86:G96" si="9">SUM(B86:F86)</f>
        <v>26760.309999999998</v>
      </c>
    </row>
    <row r="87" spans="1:13" outlineLevel="2" x14ac:dyDescent="0.25">
      <c r="A87" t="str">
        <f>("68025")&amp;" - "&amp;("Offsite- Observation")</f>
        <v>68025 - Offsite- Observation</v>
      </c>
      <c r="B87" s="2">
        <f t="shared" si="8"/>
        <v>0</v>
      </c>
      <c r="C87" s="2">
        <f t="shared" si="8"/>
        <v>0</v>
      </c>
      <c r="D87" s="2">
        <f>5944.48+0</f>
        <v>5944.48</v>
      </c>
      <c r="E87" s="2">
        <f t="shared" ref="E87:E89" si="10">0+0</f>
        <v>0</v>
      </c>
      <c r="F87" s="2">
        <f>212.68+0</f>
        <v>212.68</v>
      </c>
      <c r="G87" s="2">
        <f t="shared" si="9"/>
        <v>6157.16</v>
      </c>
    </row>
    <row r="88" spans="1:13" outlineLevel="2" x14ac:dyDescent="0.25">
      <c r="A88" t="str">
        <f>("68075")&amp;" - "&amp;("Offsite- Office Visit")</f>
        <v>68075 - Offsite- Office Visit</v>
      </c>
      <c r="B88" s="2">
        <f t="shared" si="8"/>
        <v>0</v>
      </c>
      <c r="C88" s="2">
        <f t="shared" si="8"/>
        <v>0</v>
      </c>
      <c r="D88" s="2">
        <f>732.92+0</f>
        <v>732.92</v>
      </c>
      <c r="E88" s="2">
        <v>592.32000000000005</v>
      </c>
      <c r="F88" s="2">
        <f>467.15+0</f>
        <v>467.15</v>
      </c>
      <c r="G88" s="2">
        <f t="shared" si="9"/>
        <v>1792.3899999999999</v>
      </c>
    </row>
    <row r="89" spans="1:13" outlineLevel="2" x14ac:dyDescent="0.25">
      <c r="A89" t="str">
        <f>("68100")&amp;" - "&amp;("Offsite- Visit W/Procedure")</f>
        <v>68100 - Offsite- Visit W/Procedure</v>
      </c>
      <c r="B89" s="2">
        <f t="shared" si="8"/>
        <v>0</v>
      </c>
      <c r="C89" s="2">
        <f t="shared" si="8"/>
        <v>0</v>
      </c>
      <c r="D89" s="2">
        <f>3567+0</f>
        <v>3567</v>
      </c>
      <c r="E89" s="2">
        <f t="shared" si="10"/>
        <v>0</v>
      </c>
      <c r="F89" s="2">
        <f>0+0</f>
        <v>0</v>
      </c>
      <c r="G89" s="2">
        <f t="shared" si="9"/>
        <v>3567</v>
      </c>
    </row>
    <row r="90" spans="1:13" outlineLevel="2" x14ac:dyDescent="0.25">
      <c r="A90" t="str">
        <f>("68250")&amp;" - "&amp;("Offsite- Emergency Room")</f>
        <v>68250 - Offsite- Emergency Room</v>
      </c>
      <c r="B90" s="2">
        <f t="shared" si="8"/>
        <v>0</v>
      </c>
      <c r="C90" s="2">
        <f t="shared" si="8"/>
        <v>0</v>
      </c>
      <c r="D90" s="2">
        <f>8284.49+0</f>
        <v>8284.49</v>
      </c>
      <c r="E90" s="2">
        <v>88499.18</v>
      </c>
      <c r="F90" s="2">
        <f>2160.13+0</f>
        <v>2160.13</v>
      </c>
      <c r="G90" s="2">
        <f t="shared" si="9"/>
        <v>98943.8</v>
      </c>
    </row>
    <row r="91" spans="1:13" outlineLevel="2" x14ac:dyDescent="0.25">
      <c r="A91" t="str">
        <f>("68300")&amp;" - "&amp;("Offsite- 1 day Surgery")</f>
        <v>68300 - Offsite- 1 day Surgery</v>
      </c>
      <c r="B91" s="2">
        <f t="shared" si="8"/>
        <v>0</v>
      </c>
      <c r="C91" s="2">
        <f t="shared" si="8"/>
        <v>0</v>
      </c>
      <c r="D91" s="2">
        <f>16318.08+0</f>
        <v>16318.08</v>
      </c>
      <c r="E91" s="2">
        <v>3696.52</v>
      </c>
      <c r="F91" s="2">
        <f>706.32+0</f>
        <v>706.32</v>
      </c>
      <c r="G91" s="2">
        <f t="shared" si="9"/>
        <v>20720.919999999998</v>
      </c>
    </row>
    <row r="92" spans="1:13" outlineLevel="2" x14ac:dyDescent="0.25">
      <c r="A92" t="str">
        <f>("68350")&amp;" - "&amp;("Offsite- Radiology")</f>
        <v>68350 - Offsite- Radiology</v>
      </c>
      <c r="B92" s="2">
        <f t="shared" si="8"/>
        <v>0</v>
      </c>
      <c r="C92" s="2">
        <f t="shared" si="8"/>
        <v>0</v>
      </c>
      <c r="D92" s="2">
        <f>101.58+0</f>
        <v>101.58</v>
      </c>
      <c r="E92" s="2">
        <v>891.03</v>
      </c>
      <c r="F92" s="2">
        <f>0+0</f>
        <v>0</v>
      </c>
      <c r="G92" s="2">
        <f t="shared" si="9"/>
        <v>992.61</v>
      </c>
      <c r="K92" s="10"/>
      <c r="M92" s="10"/>
    </row>
    <row r="93" spans="1:13" outlineLevel="2" x14ac:dyDescent="0.25">
      <c r="A93" t="str">
        <f>("68475")&amp;" - "&amp;("Offsite- TPA Fees")</f>
        <v>68475 - Offsite- TPA Fees</v>
      </c>
      <c r="B93" s="2">
        <f t="shared" si="8"/>
        <v>0</v>
      </c>
      <c r="C93" s="2">
        <f t="shared" si="8"/>
        <v>0</v>
      </c>
      <c r="D93" s="2">
        <f>702+0</f>
        <v>702</v>
      </c>
      <c r="E93" s="2">
        <f>1080+0</f>
        <v>1080</v>
      </c>
      <c r="F93" s="2">
        <f>378+0</f>
        <v>378</v>
      </c>
      <c r="G93" s="2">
        <f t="shared" si="9"/>
        <v>2160</v>
      </c>
    </row>
    <row r="94" spans="1:13" outlineLevel="2" x14ac:dyDescent="0.25">
      <c r="A94" t="str">
        <f>("68600")&amp;" - "&amp;("Off-Site: Reserve Adjustment")</f>
        <v>68600 - Off-Site: Reserve Adjustment</v>
      </c>
      <c r="B94" s="2">
        <f>16247.87+0</f>
        <v>16247.87</v>
      </c>
      <c r="C94" s="2">
        <f>58398.24+0</f>
        <v>58398.239999999998</v>
      </c>
      <c r="D94" s="2">
        <f>3869.66+0</f>
        <v>3869.66</v>
      </c>
      <c r="E94" s="2">
        <f>-49239.2+0</f>
        <v>-49239.199999999997</v>
      </c>
      <c r="F94" s="2">
        <f>56371.22+0</f>
        <v>56371.22</v>
      </c>
      <c r="G94" s="2">
        <f t="shared" si="9"/>
        <v>85647.790000000008</v>
      </c>
    </row>
    <row r="95" spans="1:13" outlineLevel="1" x14ac:dyDescent="0.25">
      <c r="A95" s="5" t="s">
        <v>16</v>
      </c>
      <c r="B95" s="6">
        <f>SUM(OSRRefB13_3_0x_0)</f>
        <v>16247.87</v>
      </c>
      <c r="C95" s="6">
        <f>SUM(OSRRefB13_3_0x_1)</f>
        <v>58398.239999999998</v>
      </c>
      <c r="D95" s="6">
        <f>SUM(OSRRefB13_3_0x_2)</f>
        <v>40344.97</v>
      </c>
      <c r="E95" s="6">
        <f>SUM(OSRRefB13_3_0x_3)</f>
        <v>62650.489999999991</v>
      </c>
      <c r="F95" s="6">
        <f>SUM(OSRRefB13_3_0x_4)</f>
        <v>69100.41</v>
      </c>
      <c r="G95" s="6">
        <f t="shared" si="9"/>
        <v>246741.98</v>
      </c>
    </row>
    <row r="96" spans="1:13" s="5" customFormat="1" x14ac:dyDescent="0.25">
      <c r="A96" s="5" t="str">
        <f>"Total "&amp;TRIM(MID("2J.Off-Site Services",4,125))</f>
        <v>Total Off-Site Services</v>
      </c>
      <c r="B96" s="7">
        <f>SUM(OSRRefB14_3x_0)</f>
        <v>16247.87</v>
      </c>
      <c r="C96" s="7">
        <f>SUM(OSRRefB14_3x_1)</f>
        <v>58398.239999999998</v>
      </c>
      <c r="D96" s="7">
        <f>SUM(OSRRefB14_3x_2)</f>
        <v>40344.97</v>
      </c>
      <c r="E96" s="7">
        <f>SUM(OSRRefB14_3x_3)</f>
        <v>62650.489999999991</v>
      </c>
      <c r="F96" s="7">
        <f>SUM(OSRRefB14_3x_4)</f>
        <v>69100.41</v>
      </c>
      <c r="G96" s="7">
        <f t="shared" si="9"/>
        <v>246741.98</v>
      </c>
    </row>
    <row r="98" spans="1:7" s="5" customFormat="1" outlineLevel="1" x14ac:dyDescent="0.25">
      <c r="A98" s="5" t="s">
        <v>17</v>
      </c>
      <c r="B98" s="3">
        <f>SUM(OSRRefB15x_0)</f>
        <v>167291.94999999995</v>
      </c>
      <c r="C98" s="3">
        <f>SUM(OSRRefB15x_1)</f>
        <v>201442.80999999997</v>
      </c>
      <c r="D98" s="3">
        <f>SUM(OSRRefB15x_2)</f>
        <v>118692.75</v>
      </c>
      <c r="E98" s="3">
        <f>SUM(OSRRefB15x_3)</f>
        <v>188519.36</v>
      </c>
      <c r="F98" s="3">
        <f>SUM(OSRRefB15x_4)</f>
        <v>-6617.3099999999977</v>
      </c>
      <c r="G98" s="3">
        <f>SUM(B98:F98)</f>
        <v>669329.55999999982</v>
      </c>
    </row>
    <row r="100" spans="1:7" outlineLevel="1" x14ac:dyDescent="0.25">
      <c r="A100" s="5" t="str">
        <f>TRIM(MID("2L.Other Expenses",4,125))</f>
        <v>Other Expenses</v>
      </c>
    </row>
    <row r="101" spans="1:7" outlineLevel="2" x14ac:dyDescent="0.25">
      <c r="A101" t="str">
        <f>("66000")&amp;" - "&amp;("Admin.- Office Supplies")</f>
        <v>66000 - Admin.- Office Supplies</v>
      </c>
      <c r="B101" s="2">
        <f>861.77+0</f>
        <v>861.77</v>
      </c>
      <c r="C101" s="2">
        <f>1182.98+0</f>
        <v>1182.98</v>
      </c>
      <c r="D101" s="2">
        <f>2470.39+0</f>
        <v>2470.39</v>
      </c>
      <c r="E101" s="2">
        <f>2362.45+0</f>
        <v>2362.4499999999998</v>
      </c>
      <c r="F101" s="2">
        <f>1090.93+0</f>
        <v>1090.93</v>
      </c>
      <c r="G101" s="2">
        <f t="shared" ref="G101:G114" si="11">SUM(B101:F101)</f>
        <v>7968.5199999999995</v>
      </c>
    </row>
    <row r="102" spans="1:7" outlineLevel="2" x14ac:dyDescent="0.25">
      <c r="A102" t="str">
        <f>("66025")&amp;" - "&amp;("Admin.- Printing &amp; Forms")</f>
        <v>66025 - Admin.- Printing &amp; Forms</v>
      </c>
      <c r="B102" s="2">
        <f>138.01+0</f>
        <v>138.01</v>
      </c>
      <c r="C102" s="2">
        <f>3084.73+0</f>
        <v>3084.73</v>
      </c>
      <c r="D102" s="2">
        <f>0+0</f>
        <v>0</v>
      </c>
      <c r="E102" s="2">
        <f>0+0</f>
        <v>0</v>
      </c>
      <c r="F102" s="2">
        <f>0+0</f>
        <v>0</v>
      </c>
      <c r="G102" s="2">
        <f t="shared" si="11"/>
        <v>3222.74</v>
      </c>
    </row>
    <row r="103" spans="1:7" outlineLevel="2" x14ac:dyDescent="0.25">
      <c r="A103" t="str">
        <f>("66100")&amp;" - "&amp;("Admin.- Overnight Delivery")</f>
        <v>66100 - Admin.- Overnight Delivery</v>
      </c>
      <c r="B103" s="2">
        <f>493.53+0</f>
        <v>493.53</v>
      </c>
      <c r="C103" s="2">
        <f>306.48+0</f>
        <v>306.48</v>
      </c>
      <c r="D103" s="2">
        <f>70.07+0</f>
        <v>70.069999999999993</v>
      </c>
      <c r="E103" s="2">
        <f>107.14+0</f>
        <v>107.14</v>
      </c>
      <c r="F103" s="2">
        <f>45.97+0</f>
        <v>45.97</v>
      </c>
      <c r="G103" s="2">
        <f t="shared" si="11"/>
        <v>1023.1899999999999</v>
      </c>
    </row>
    <row r="104" spans="1:7" outlineLevel="2" x14ac:dyDescent="0.25">
      <c r="A104" t="str">
        <f>("66300")&amp;" - "&amp;("Admin.- Licenses &amp; Taxes")</f>
        <v>66300 - Admin.- Licenses &amp; Taxes</v>
      </c>
      <c r="B104" s="2">
        <f>0+0</f>
        <v>0</v>
      </c>
      <c r="C104" s="2">
        <f>0+0</f>
        <v>0</v>
      </c>
      <c r="D104" s="2">
        <f>0+0</f>
        <v>0</v>
      </c>
      <c r="E104" s="2">
        <f>0+0</f>
        <v>0</v>
      </c>
      <c r="F104" s="2">
        <f>370+0</f>
        <v>370</v>
      </c>
      <c r="G104" s="2">
        <f t="shared" si="11"/>
        <v>370</v>
      </c>
    </row>
    <row r="105" spans="1:7" outlineLevel="2" x14ac:dyDescent="0.25">
      <c r="A105" t="str">
        <f>("66310")&amp;" - "&amp;("Admin- Sales/Use Tax")</f>
        <v>66310 - Admin- Sales/Use Tax</v>
      </c>
      <c r="B105" s="2">
        <f>53.56+0</f>
        <v>53.56</v>
      </c>
      <c r="C105" s="2">
        <f>8.59+0</f>
        <v>8.59</v>
      </c>
      <c r="D105" s="2">
        <f>56.47+0</f>
        <v>56.47</v>
      </c>
      <c r="E105" s="2">
        <f>1.5+0</f>
        <v>1.5</v>
      </c>
      <c r="F105" s="2">
        <f>98.51+0</f>
        <v>98.51</v>
      </c>
      <c r="G105" s="2">
        <f t="shared" si="11"/>
        <v>218.63</v>
      </c>
    </row>
    <row r="106" spans="1:7" outlineLevel="1" x14ac:dyDescent="0.25">
      <c r="A106" s="5" t="s">
        <v>18</v>
      </c>
      <c r="B106" s="6">
        <f>SUM(OSRRefB20_0_0x_0)</f>
        <v>1546.87</v>
      </c>
      <c r="C106" s="6">
        <f>SUM(OSRRefB20_0_0x_1)</f>
        <v>4582.7800000000007</v>
      </c>
      <c r="D106" s="6">
        <f>SUM(OSRRefB20_0_0x_2)</f>
        <v>2596.9299999999998</v>
      </c>
      <c r="E106" s="6">
        <f>SUM(OSRRefB20_0_0x_3)</f>
        <v>2471.0899999999997</v>
      </c>
      <c r="F106" s="6">
        <f>SUM(OSRRefB20_0_0x_4)</f>
        <v>1605.41</v>
      </c>
      <c r="G106" s="6">
        <f t="shared" si="11"/>
        <v>12803.08</v>
      </c>
    </row>
    <row r="107" spans="1:7" outlineLevel="2" x14ac:dyDescent="0.25">
      <c r="A107" t="str">
        <f>("64025")&amp;" - "&amp;("Facility- Office Equip. Rent")</f>
        <v>64025 - Facility- Office Equip. Rent</v>
      </c>
      <c r="B107" s="2">
        <f>0+0</f>
        <v>0</v>
      </c>
      <c r="C107" s="2">
        <f>0+0</f>
        <v>0</v>
      </c>
      <c r="D107" s="2">
        <f>0+0</f>
        <v>0</v>
      </c>
      <c r="E107" s="2">
        <f>349.27+0</f>
        <v>349.27</v>
      </c>
      <c r="F107" s="2">
        <f>492.6+0</f>
        <v>492.6</v>
      </c>
      <c r="G107" s="2">
        <f t="shared" si="11"/>
        <v>841.87</v>
      </c>
    </row>
    <row r="108" spans="1:7" outlineLevel="2" x14ac:dyDescent="0.25">
      <c r="A108" t="str">
        <f>("64050")&amp;" - "&amp;("Facility- Equip. Rent")</f>
        <v>64050 - Facility- Equip. Rent</v>
      </c>
      <c r="B108" s="2">
        <f>155.87+0</f>
        <v>155.87</v>
      </c>
      <c r="C108" s="2">
        <f>121.77+0</f>
        <v>121.77</v>
      </c>
      <c r="D108" s="2">
        <f>325.5+0</f>
        <v>325.5</v>
      </c>
      <c r="E108" s="2">
        <f>252.09+0</f>
        <v>252.09</v>
      </c>
      <c r="F108" s="2">
        <f>169.36+0</f>
        <v>169.36</v>
      </c>
      <c r="G108" s="2">
        <f t="shared" si="11"/>
        <v>1024.5900000000001</v>
      </c>
    </row>
    <row r="109" spans="1:7" outlineLevel="2" x14ac:dyDescent="0.25">
      <c r="A109" t="str">
        <f>("64350")&amp;" - "&amp;("Facility- Telephone")</f>
        <v>64350 - Facility- Telephone</v>
      </c>
      <c r="B109" s="2">
        <f>2.13+0</f>
        <v>2.13</v>
      </c>
      <c r="C109" s="2">
        <f t="shared" ref="C109:F110" si="12">0+0</f>
        <v>0</v>
      </c>
      <c r="D109" s="2">
        <f t="shared" si="12"/>
        <v>0</v>
      </c>
      <c r="E109" s="2">
        <f t="shared" si="12"/>
        <v>0</v>
      </c>
      <c r="F109" s="2">
        <f t="shared" si="12"/>
        <v>0</v>
      </c>
      <c r="G109" s="2">
        <f t="shared" si="11"/>
        <v>2.13</v>
      </c>
    </row>
    <row r="110" spans="1:7" outlineLevel="2" x14ac:dyDescent="0.25">
      <c r="A110" t="str">
        <f>("64375")&amp;" - "&amp;("Facility- IT Maintenance")</f>
        <v>64375 - Facility- IT Maintenance</v>
      </c>
      <c r="B110" s="2">
        <f>1002.75+0</f>
        <v>1002.75</v>
      </c>
      <c r="C110" s="2">
        <f t="shared" si="12"/>
        <v>0</v>
      </c>
      <c r="D110" s="2">
        <f t="shared" si="12"/>
        <v>0</v>
      </c>
      <c r="E110" s="2">
        <f t="shared" si="12"/>
        <v>0</v>
      </c>
      <c r="F110" s="2">
        <f t="shared" si="12"/>
        <v>0</v>
      </c>
      <c r="G110" s="2">
        <f t="shared" si="11"/>
        <v>1002.75</v>
      </c>
    </row>
    <row r="111" spans="1:7" outlineLevel="1" x14ac:dyDescent="0.25">
      <c r="A111" s="5" t="s">
        <v>19</v>
      </c>
      <c r="B111" s="6">
        <f>SUM(OSRRefB20_0_1x_0)</f>
        <v>1160.75</v>
      </c>
      <c r="C111" s="6">
        <f>SUM(OSRRefB20_0_1x_1)</f>
        <v>121.77</v>
      </c>
      <c r="D111" s="6">
        <f>SUM(OSRRefB20_0_1x_2)</f>
        <v>325.5</v>
      </c>
      <c r="E111" s="6">
        <f>SUM(OSRRefB20_0_1x_3)</f>
        <v>601.36</v>
      </c>
      <c r="F111" s="6">
        <f>SUM(OSRRefB20_0_1x_4)</f>
        <v>661.96</v>
      </c>
      <c r="G111" s="6">
        <f t="shared" si="11"/>
        <v>2871.34</v>
      </c>
    </row>
    <row r="112" spans="1:7" outlineLevel="2" x14ac:dyDescent="0.25">
      <c r="A112" t="str">
        <f>("64750")&amp;" - "&amp;("Operating- Other")</f>
        <v>64750 - Operating- Other</v>
      </c>
      <c r="B112" s="2">
        <f>1600+0</f>
        <v>1600</v>
      </c>
      <c r="C112" s="2">
        <f>0+0</f>
        <v>0</v>
      </c>
      <c r="D112" s="2">
        <f>0+0</f>
        <v>0</v>
      </c>
      <c r="E112" s="2">
        <f>0+0</f>
        <v>0</v>
      </c>
      <c r="F112" s="2">
        <f>3100+0</f>
        <v>3100</v>
      </c>
      <c r="G112" s="2">
        <f t="shared" si="11"/>
        <v>4700</v>
      </c>
    </row>
    <row r="113" spans="1:7" outlineLevel="1" x14ac:dyDescent="0.25">
      <c r="A113" s="5" t="s">
        <v>20</v>
      </c>
      <c r="B113" s="6">
        <f>SUM(OSRRefB20_0_2x_0)</f>
        <v>1600</v>
      </c>
      <c r="C113" s="6">
        <f>SUM(OSRRefB20_0_2x_1)</f>
        <v>0</v>
      </c>
      <c r="D113" s="6">
        <f>SUM(OSRRefB20_0_2x_2)</f>
        <v>0</v>
      </c>
      <c r="E113" s="6">
        <f>SUM(OSRRefB20_0_2x_3)</f>
        <v>0</v>
      </c>
      <c r="F113" s="6">
        <f>SUM(OSRRefB20_0_2x_4)</f>
        <v>3100</v>
      </c>
      <c r="G113" s="6">
        <f t="shared" si="11"/>
        <v>4700</v>
      </c>
    </row>
    <row r="114" spans="1:7" s="5" customFormat="1" x14ac:dyDescent="0.25">
      <c r="A114" s="5" t="str">
        <f>"Total "&amp;TRIM(MID("2L.Other Expenses",4,125))</f>
        <v>Total Other Expenses</v>
      </c>
      <c r="B114" s="7">
        <f>SUM(OSRRefB21_0x_0)</f>
        <v>4307.62</v>
      </c>
      <c r="C114" s="7">
        <f>SUM(OSRRefB21_0x_1)</f>
        <v>4704.5500000000011</v>
      </c>
      <c r="D114" s="7">
        <f>SUM(OSRRefB21_0x_2)</f>
        <v>2922.43</v>
      </c>
      <c r="E114" s="7">
        <f>SUM(OSRRefB21_0x_3)</f>
        <v>3072.45</v>
      </c>
      <c r="F114" s="7">
        <f>SUM(OSRRefB21_0x_4)</f>
        <v>5367.37</v>
      </c>
      <c r="G114" s="7">
        <f t="shared" si="11"/>
        <v>20374.420000000002</v>
      </c>
    </row>
    <row r="116" spans="1:7" outlineLevel="1" x14ac:dyDescent="0.25">
      <c r="A116" s="5" t="str">
        <f>TRIM(MID("2M.Pass-Thru Expenses",4,125))</f>
        <v>Pass-Thru Expenses</v>
      </c>
    </row>
    <row r="117" spans="1:7" outlineLevel="2" x14ac:dyDescent="0.25">
      <c r="A117" t="str">
        <f>("69560")&amp;" - "&amp;("Pass Through Expenses- Other")</f>
        <v>69560 - Pass Through Expenses- Other</v>
      </c>
      <c r="B117" s="2">
        <f>0+0</f>
        <v>0</v>
      </c>
      <c r="C117" s="2">
        <f>992.24+0</f>
        <v>992.24</v>
      </c>
      <c r="D117" s="2">
        <f>334.17+0</f>
        <v>334.17</v>
      </c>
      <c r="E117" s="2">
        <f>0+0</f>
        <v>0</v>
      </c>
      <c r="F117" s="2">
        <f>0+0</f>
        <v>0</v>
      </c>
      <c r="G117" s="2">
        <f>SUM(B117:F117)</f>
        <v>1326.41</v>
      </c>
    </row>
    <row r="118" spans="1:7" outlineLevel="1" x14ac:dyDescent="0.25">
      <c r="A118" s="5" t="s">
        <v>21</v>
      </c>
      <c r="B118" s="6">
        <f>SUM(OSRRefB20_1_0x_0)</f>
        <v>0</v>
      </c>
      <c r="C118" s="6">
        <f>SUM(OSRRefB20_1_0x_1)</f>
        <v>992.24</v>
      </c>
      <c r="D118" s="6">
        <f>SUM(OSRRefB20_1_0x_2)</f>
        <v>334.17</v>
      </c>
      <c r="E118" s="6">
        <f>SUM(OSRRefB20_1_0x_3)</f>
        <v>0</v>
      </c>
      <c r="F118" s="6">
        <f>SUM(OSRRefB20_1_0x_4)</f>
        <v>0</v>
      </c>
      <c r="G118" s="6">
        <f>SUM(B118:F118)</f>
        <v>1326.41</v>
      </c>
    </row>
    <row r="119" spans="1:7" s="5" customFormat="1" x14ac:dyDescent="0.25">
      <c r="A119" s="5" t="str">
        <f>"Total "&amp;TRIM(MID("2M.Pass-Thru Expenses",4,125))</f>
        <v>Total Pass-Thru Expenses</v>
      </c>
      <c r="B119" s="7">
        <f>SUM(OSRRefB21_1x_0)</f>
        <v>0</v>
      </c>
      <c r="C119" s="7">
        <f>SUM(OSRRefB21_1x_1)</f>
        <v>992.24</v>
      </c>
      <c r="D119" s="7">
        <f>SUM(OSRRefB21_1x_2)</f>
        <v>334.17</v>
      </c>
      <c r="E119" s="7">
        <f>SUM(OSRRefB21_1x_3)</f>
        <v>0</v>
      </c>
      <c r="F119" s="7">
        <f>SUM(OSRRefB21_1x_4)</f>
        <v>0</v>
      </c>
      <c r="G119" s="7">
        <f>SUM(B119:F119)</f>
        <v>1326.41</v>
      </c>
    </row>
    <row r="121" spans="1:7" x14ac:dyDescent="0.25">
      <c r="A121" s="5" t="s">
        <v>22</v>
      </c>
      <c r="B121" s="3">
        <f>SUM(OSRRefB22x_0)+SUM(OSRRefB17x_0)+SUM(OSRRefB8x_0)</f>
        <v>645635.88</v>
      </c>
      <c r="C121" s="3">
        <f>SUM(OSRRefB22x_1)+SUM(OSRRefB17x_1)+SUM(OSRRefB8x_1)</f>
        <v>649753.6399999999</v>
      </c>
      <c r="D121" s="3">
        <f>SUM(OSRRefB22x_2)+SUM(OSRRefB17x_2)+SUM(OSRRefB8x_2)</f>
        <v>547454</v>
      </c>
      <c r="E121" s="3">
        <f>SUM(OSRRefB22x_3)+SUM(OSRRefB17x_3)+SUM(OSRRefB8x_3)</f>
        <v>608954.82000000007</v>
      </c>
      <c r="F121" s="3">
        <f>SUM(OSRRefB22x_4)+SUM(OSRRefB17x_4)+SUM(OSRRefB8x_4)</f>
        <v>492825.3</v>
      </c>
      <c r="G121" s="3">
        <f>SUM(B121:F121)</f>
        <v>2944623.6399999997</v>
      </c>
    </row>
    <row r="122" spans="1:7" x14ac:dyDescent="0.25">
      <c r="A122" s="5" t="s">
        <v>23</v>
      </c>
      <c r="B122" s="3">
        <v>624428</v>
      </c>
      <c r="C122" s="3">
        <v>624428</v>
      </c>
      <c r="D122" s="3">
        <v>651931</v>
      </c>
      <c r="E122" s="3">
        <v>651931</v>
      </c>
      <c r="F122" s="3">
        <v>651931</v>
      </c>
      <c r="G122" s="3">
        <f>SUM(B122:F122)</f>
        <v>3204649</v>
      </c>
    </row>
    <row r="124" spans="1:7" ht="15.75" thickBot="1" x14ac:dyDescent="0.3">
      <c r="A124" s="8" t="s">
        <v>24</v>
      </c>
      <c r="B124" s="9">
        <f>B121-B122</f>
        <v>21207.880000000005</v>
      </c>
      <c r="C124" s="9">
        <f t="shared" ref="C124:F124" si="13">C121-C122</f>
        <v>25325.639999999898</v>
      </c>
      <c r="D124" s="9">
        <f t="shared" si="13"/>
        <v>-104477</v>
      </c>
      <c r="E124" s="9">
        <f t="shared" si="13"/>
        <v>-42976.179999999935</v>
      </c>
      <c r="F124" s="9">
        <f t="shared" si="13"/>
        <v>-159105.70000000001</v>
      </c>
      <c r="G124" s="9">
        <f>SUM(B124:F124)</f>
        <v>-260025.36000000004</v>
      </c>
    </row>
    <row r="125" spans="1:7" ht="15.75" thickTop="1" x14ac:dyDescent="0.25"/>
  </sheetData>
  <mergeCells count="1">
    <mergeCell ref="B3:F3"/>
  </mergeCells>
  <printOptions horizontalCentered="1"/>
  <pageMargins left="0.25" right="0.25" top="0.75" bottom="0.75" header="0.3" footer="0.3"/>
  <pageSetup scale="75" orientation="landscape" r:id="rId1"/>
  <headerFooter>
    <oddHeader>&amp;CATTACHMENT 7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2"/>
  <sheetViews>
    <sheetView showGridLines="0" view="pageBreakPreview" zoomScale="60" zoomScaleNormal="100" workbookViewId="0">
      <pane ySplit="1" topLeftCell="A155" activePane="bottomLeft" state="frozen"/>
      <selection pane="bottomLeft" activeCell="W23" sqref="W23"/>
    </sheetView>
  </sheetViews>
  <sheetFormatPr defaultRowHeight="15" x14ac:dyDescent="0.25"/>
  <cols>
    <col min="1" max="1" width="0.140625" style="16" customWidth="1"/>
    <col min="2" max="2" width="17.140625" style="16" customWidth="1"/>
    <col min="3" max="3" width="2.140625" style="16" customWidth="1"/>
    <col min="4" max="4" width="5.42578125" style="16" customWidth="1"/>
    <col min="5" max="5" width="8.42578125" style="16" bestFit="1" customWidth="1"/>
    <col min="6" max="6" width="9.140625" style="16" customWidth="1"/>
    <col min="7" max="7" width="7.5703125" style="16" bestFit="1" customWidth="1"/>
    <col min="8" max="8" width="8.42578125" style="16" bestFit="1" customWidth="1"/>
    <col min="9" max="9" width="7.42578125" style="16" customWidth="1"/>
    <col min="10" max="10" width="6.85546875" style="16" customWidth="1"/>
    <col min="11" max="11" width="7" style="16" customWidth="1"/>
    <col min="12" max="12" width="8.42578125" style="16" customWidth="1"/>
    <col min="13" max="13" width="8" style="16" customWidth="1"/>
    <col min="14" max="15" width="7.5703125" style="16" bestFit="1" customWidth="1"/>
    <col min="16" max="16" width="6.28515625" style="16" bestFit="1" customWidth="1"/>
    <col min="17" max="17" width="11.42578125" style="16" customWidth="1"/>
    <col min="18" max="18" width="3.7109375" style="16" customWidth="1"/>
    <col min="19" max="19" width="0.140625" style="16" hidden="1" customWidth="1"/>
    <col min="20" max="20" width="3.42578125" style="16" customWidth="1"/>
    <col min="21" max="21" width="8.28515625" style="16" customWidth="1"/>
    <col min="22" max="16384" width="9.140625" style="16"/>
  </cols>
  <sheetData>
    <row r="1" spans="1:21" ht="2.4500000000000002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1.35" customHeight="1" x14ac:dyDescent="0.25"/>
    <row r="3" spans="1:21" ht="18" customHeight="1" x14ac:dyDescent="0.25">
      <c r="B3" s="51"/>
    </row>
    <row r="4" spans="1:21" ht="18" customHeight="1" x14ac:dyDescent="0.25">
      <c r="B4" s="51"/>
      <c r="D4" s="52" t="s">
        <v>586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21" ht="3" customHeight="1" x14ac:dyDescent="0.25"/>
    <row r="6" spans="1:21" ht="31.5" customHeight="1" x14ac:dyDescent="0.25">
      <c r="B6" s="53" t="s">
        <v>587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21" ht="6" customHeight="1" x14ac:dyDescent="0.25"/>
    <row r="8" spans="1:21" ht="21.75" customHeight="1" x14ac:dyDescent="0.25">
      <c r="A8" s="54" t="s">
        <v>588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21" ht="3" customHeight="1" x14ac:dyDescent="0.25"/>
    <row r="10" spans="1:21" ht="18" customHeight="1" x14ac:dyDescent="0.25">
      <c r="A10" s="55" t="s">
        <v>762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21" ht="3.95" customHeight="1" x14ac:dyDescent="0.25"/>
    <row r="12" spans="1:21" ht="18" customHeight="1" x14ac:dyDescent="0.25">
      <c r="A12" s="56" t="s">
        <v>589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1" ht="18" customHeight="1" x14ac:dyDescent="0.25">
      <c r="A13" s="66" t="s">
        <v>590</v>
      </c>
      <c r="B13" s="58"/>
      <c r="C13" s="58"/>
      <c r="D13" s="58"/>
      <c r="E13" s="67" t="s">
        <v>591</v>
      </c>
      <c r="F13" s="58"/>
      <c r="G13" s="61"/>
      <c r="H13" s="67" t="s">
        <v>592</v>
      </c>
      <c r="I13" s="58"/>
      <c r="J13" s="58"/>
      <c r="K13" s="58"/>
      <c r="L13" s="61"/>
      <c r="M13" s="67" t="s">
        <v>593</v>
      </c>
      <c r="N13" s="58"/>
      <c r="O13" s="58"/>
      <c r="P13" s="58"/>
      <c r="Q13" s="61"/>
      <c r="R13" s="67" t="s">
        <v>594</v>
      </c>
      <c r="S13" s="58"/>
      <c r="T13" s="61"/>
    </row>
    <row r="14" spans="1:21" ht="27" x14ac:dyDescent="0.25">
      <c r="A14" s="68" t="s">
        <v>595</v>
      </c>
      <c r="B14" s="58"/>
      <c r="C14" s="58"/>
      <c r="D14" s="58"/>
      <c r="E14" s="17" t="s">
        <v>596</v>
      </c>
      <c r="F14" s="18" t="s">
        <v>597</v>
      </c>
      <c r="G14" s="18" t="s">
        <v>598</v>
      </c>
      <c r="H14" s="17" t="s">
        <v>599</v>
      </c>
      <c r="I14" s="18" t="s">
        <v>600</v>
      </c>
      <c r="J14" s="18" t="s">
        <v>601</v>
      </c>
      <c r="K14" s="18" t="s">
        <v>602</v>
      </c>
      <c r="L14" s="19" t="s">
        <v>603</v>
      </c>
      <c r="M14" s="17" t="s">
        <v>604</v>
      </c>
      <c r="N14" s="18" t="s">
        <v>605</v>
      </c>
      <c r="O14" s="18" t="s">
        <v>606</v>
      </c>
      <c r="P14" s="18" t="s">
        <v>607</v>
      </c>
      <c r="Q14" s="19" t="s">
        <v>608</v>
      </c>
      <c r="R14" s="69" t="s">
        <v>609</v>
      </c>
      <c r="S14" s="58"/>
      <c r="T14" s="61"/>
    </row>
    <row r="15" spans="1:21" ht="18" customHeight="1" x14ac:dyDescent="0.25">
      <c r="A15" s="57" t="s">
        <v>610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</row>
    <row r="16" spans="1:21" x14ac:dyDescent="0.25">
      <c r="A16" s="59" t="s">
        <v>611</v>
      </c>
      <c r="B16" s="58"/>
      <c r="C16" s="58"/>
      <c r="D16" s="58"/>
      <c r="E16" s="20" t="s">
        <v>612</v>
      </c>
      <c r="F16" s="21" t="s">
        <v>612</v>
      </c>
      <c r="G16" s="21" t="s">
        <v>612</v>
      </c>
      <c r="H16" s="20" t="s">
        <v>612</v>
      </c>
      <c r="I16" s="21" t="s">
        <v>612</v>
      </c>
      <c r="J16" s="21" t="s">
        <v>612</v>
      </c>
      <c r="K16" s="21" t="s">
        <v>612</v>
      </c>
      <c r="L16" s="22" t="s">
        <v>612</v>
      </c>
      <c r="M16" s="20" t="s">
        <v>612</v>
      </c>
      <c r="N16" s="21" t="s">
        <v>612</v>
      </c>
      <c r="O16" s="21" t="s">
        <v>612</v>
      </c>
      <c r="P16" s="21" t="s">
        <v>612</v>
      </c>
      <c r="Q16" s="22" t="s">
        <v>612</v>
      </c>
      <c r="R16" s="60" t="s">
        <v>612</v>
      </c>
      <c r="S16" s="58"/>
      <c r="T16" s="61"/>
    </row>
    <row r="17" spans="1:20" x14ac:dyDescent="0.25">
      <c r="A17" s="62" t="s">
        <v>613</v>
      </c>
      <c r="B17" s="58"/>
      <c r="C17" s="58"/>
      <c r="D17" s="58"/>
      <c r="E17" s="23" t="s">
        <v>612</v>
      </c>
      <c r="F17" s="24" t="s">
        <v>612</v>
      </c>
      <c r="G17" s="24" t="s">
        <v>612</v>
      </c>
      <c r="H17" s="23" t="s">
        <v>612</v>
      </c>
      <c r="I17" s="24" t="s">
        <v>612</v>
      </c>
      <c r="J17" s="24" t="s">
        <v>612</v>
      </c>
      <c r="K17" s="24" t="s">
        <v>612</v>
      </c>
      <c r="L17" s="25" t="s">
        <v>612</v>
      </c>
      <c r="M17" s="26" t="s">
        <v>612</v>
      </c>
      <c r="N17" s="27" t="s">
        <v>612</v>
      </c>
      <c r="O17" s="27" t="s">
        <v>612</v>
      </c>
      <c r="P17" s="27" t="s">
        <v>612</v>
      </c>
      <c r="Q17" s="28" t="s">
        <v>612</v>
      </c>
      <c r="R17" s="63" t="s">
        <v>612</v>
      </c>
      <c r="S17" s="58"/>
      <c r="T17" s="61"/>
    </row>
    <row r="18" spans="1:20" x14ac:dyDescent="0.25">
      <c r="A18" s="64" t="s">
        <v>614</v>
      </c>
      <c r="B18" s="58"/>
      <c r="C18" s="58"/>
      <c r="D18" s="58"/>
      <c r="E18" s="29">
        <v>68.416667000000004</v>
      </c>
      <c r="F18" s="30" t="s">
        <v>612</v>
      </c>
      <c r="G18" s="30" t="s">
        <v>612</v>
      </c>
      <c r="H18" s="29">
        <v>25</v>
      </c>
      <c r="I18" s="31">
        <v>28.416667</v>
      </c>
      <c r="J18" s="31">
        <v>0</v>
      </c>
      <c r="K18" s="31">
        <v>0</v>
      </c>
      <c r="L18" s="32">
        <v>53.416666999999997</v>
      </c>
      <c r="M18" s="29">
        <v>0</v>
      </c>
      <c r="N18" s="31">
        <v>0</v>
      </c>
      <c r="O18" s="31">
        <v>0</v>
      </c>
      <c r="P18" s="31">
        <v>15</v>
      </c>
      <c r="Q18" s="31">
        <v>15</v>
      </c>
      <c r="R18" s="65">
        <v>68.416667000000004</v>
      </c>
      <c r="S18" s="58"/>
      <c r="T18" s="61"/>
    </row>
    <row r="19" spans="1:20" x14ac:dyDescent="0.25">
      <c r="A19" s="64" t="s">
        <v>615</v>
      </c>
      <c r="B19" s="58"/>
      <c r="C19" s="58"/>
      <c r="D19" s="58"/>
      <c r="E19" s="29">
        <v>881.90000099999997</v>
      </c>
      <c r="F19" s="30" t="s">
        <v>612</v>
      </c>
      <c r="G19" s="30" t="s">
        <v>612</v>
      </c>
      <c r="H19" s="29">
        <v>783.31666800000005</v>
      </c>
      <c r="I19" s="31">
        <v>6.45</v>
      </c>
      <c r="J19" s="31">
        <v>0</v>
      </c>
      <c r="K19" s="31">
        <v>0</v>
      </c>
      <c r="L19" s="32">
        <v>789.76666799999998</v>
      </c>
      <c r="M19" s="29">
        <v>68.133332999999993</v>
      </c>
      <c r="N19" s="31">
        <v>24</v>
      </c>
      <c r="O19" s="31">
        <v>0</v>
      </c>
      <c r="P19" s="31">
        <v>0</v>
      </c>
      <c r="Q19" s="31">
        <v>92.133332999999993</v>
      </c>
      <c r="R19" s="65">
        <v>881.90000099999997</v>
      </c>
      <c r="S19" s="58"/>
      <c r="T19" s="61"/>
    </row>
    <row r="20" spans="1:20" x14ac:dyDescent="0.25">
      <c r="A20" s="70" t="s">
        <v>616</v>
      </c>
      <c r="B20" s="58"/>
      <c r="C20" s="58"/>
      <c r="D20" s="58"/>
      <c r="E20" s="33">
        <v>950.31666800000005</v>
      </c>
      <c r="F20" s="34">
        <v>840</v>
      </c>
      <c r="G20" s="34">
        <v>110.31666800000001</v>
      </c>
      <c r="H20" s="33">
        <v>808.31666800000005</v>
      </c>
      <c r="I20" s="35">
        <v>34.866667</v>
      </c>
      <c r="J20" s="35">
        <v>0</v>
      </c>
      <c r="K20" s="35">
        <v>0</v>
      </c>
      <c r="L20" s="36">
        <v>843.18333500000006</v>
      </c>
      <c r="M20" s="33">
        <v>68.133332999999993</v>
      </c>
      <c r="N20" s="37">
        <v>24</v>
      </c>
      <c r="O20" s="35">
        <v>0</v>
      </c>
      <c r="P20" s="35">
        <v>15</v>
      </c>
      <c r="Q20" s="35">
        <v>107.13333299999999</v>
      </c>
      <c r="R20" s="71">
        <v>950.31666800000005</v>
      </c>
      <c r="S20" s="58"/>
      <c r="T20" s="61"/>
    </row>
    <row r="21" spans="1:20" x14ac:dyDescent="0.25">
      <c r="A21" s="59" t="s">
        <v>617</v>
      </c>
      <c r="B21" s="58"/>
      <c r="C21" s="58"/>
      <c r="D21" s="58"/>
      <c r="E21" s="20" t="s">
        <v>612</v>
      </c>
      <c r="F21" s="21" t="s">
        <v>612</v>
      </c>
      <c r="G21" s="21" t="s">
        <v>612</v>
      </c>
      <c r="H21" s="20" t="s">
        <v>612</v>
      </c>
      <c r="I21" s="21" t="s">
        <v>612</v>
      </c>
      <c r="J21" s="21" t="s">
        <v>612</v>
      </c>
      <c r="K21" s="21" t="s">
        <v>612</v>
      </c>
      <c r="L21" s="22" t="s">
        <v>612</v>
      </c>
      <c r="M21" s="20" t="s">
        <v>612</v>
      </c>
      <c r="N21" s="21" t="s">
        <v>612</v>
      </c>
      <c r="O21" s="21" t="s">
        <v>612</v>
      </c>
      <c r="P21" s="21" t="s">
        <v>612</v>
      </c>
      <c r="Q21" s="22" t="s">
        <v>612</v>
      </c>
      <c r="R21" s="60" t="s">
        <v>612</v>
      </c>
      <c r="S21" s="58"/>
      <c r="T21" s="61"/>
    </row>
    <row r="22" spans="1:20" x14ac:dyDescent="0.25">
      <c r="A22" s="62" t="s">
        <v>613</v>
      </c>
      <c r="B22" s="58"/>
      <c r="C22" s="58"/>
      <c r="D22" s="58"/>
      <c r="E22" s="23" t="s">
        <v>612</v>
      </c>
      <c r="F22" s="24" t="s">
        <v>612</v>
      </c>
      <c r="G22" s="24" t="s">
        <v>612</v>
      </c>
      <c r="H22" s="23" t="s">
        <v>612</v>
      </c>
      <c r="I22" s="24" t="s">
        <v>612</v>
      </c>
      <c r="J22" s="24" t="s">
        <v>612</v>
      </c>
      <c r="K22" s="24" t="s">
        <v>612</v>
      </c>
      <c r="L22" s="25" t="s">
        <v>612</v>
      </c>
      <c r="M22" s="26" t="s">
        <v>612</v>
      </c>
      <c r="N22" s="27" t="s">
        <v>612</v>
      </c>
      <c r="O22" s="27" t="s">
        <v>612</v>
      </c>
      <c r="P22" s="27" t="s">
        <v>612</v>
      </c>
      <c r="Q22" s="28" t="s">
        <v>612</v>
      </c>
      <c r="R22" s="63" t="s">
        <v>612</v>
      </c>
      <c r="S22" s="58"/>
      <c r="T22" s="61"/>
    </row>
    <row r="23" spans="1:20" x14ac:dyDescent="0.25">
      <c r="A23" s="64" t="s">
        <v>618</v>
      </c>
      <c r="B23" s="58"/>
      <c r="C23" s="58"/>
      <c r="D23" s="58"/>
      <c r="E23" s="29">
        <v>852.29999699999996</v>
      </c>
      <c r="F23" s="30" t="s">
        <v>612</v>
      </c>
      <c r="G23" s="30" t="s">
        <v>612</v>
      </c>
      <c r="H23" s="29">
        <v>788.29999699999996</v>
      </c>
      <c r="I23" s="31">
        <v>0</v>
      </c>
      <c r="J23" s="31">
        <v>0</v>
      </c>
      <c r="K23" s="31">
        <v>0</v>
      </c>
      <c r="L23" s="32">
        <v>788.29999699999996</v>
      </c>
      <c r="M23" s="29">
        <v>40</v>
      </c>
      <c r="N23" s="31">
        <v>24</v>
      </c>
      <c r="O23" s="31">
        <v>0</v>
      </c>
      <c r="P23" s="31">
        <v>0</v>
      </c>
      <c r="Q23" s="31">
        <v>64</v>
      </c>
      <c r="R23" s="65">
        <v>852.29999699999996</v>
      </c>
      <c r="S23" s="58"/>
      <c r="T23" s="61"/>
    </row>
    <row r="24" spans="1:20" x14ac:dyDescent="0.25">
      <c r="A24" s="70" t="s">
        <v>619</v>
      </c>
      <c r="B24" s="58"/>
      <c r="C24" s="58"/>
      <c r="D24" s="58"/>
      <c r="E24" s="33">
        <v>852.29999699999996</v>
      </c>
      <c r="F24" s="34">
        <v>840</v>
      </c>
      <c r="G24" s="34">
        <v>12.2999970000002</v>
      </c>
      <c r="H24" s="33">
        <v>788.29999699999996</v>
      </c>
      <c r="I24" s="35">
        <v>0</v>
      </c>
      <c r="J24" s="35">
        <v>0</v>
      </c>
      <c r="K24" s="35">
        <v>0</v>
      </c>
      <c r="L24" s="36">
        <v>788.29999699999996</v>
      </c>
      <c r="M24" s="33">
        <v>40</v>
      </c>
      <c r="N24" s="37">
        <v>24</v>
      </c>
      <c r="O24" s="35">
        <v>0</v>
      </c>
      <c r="P24" s="35">
        <v>0</v>
      </c>
      <c r="Q24" s="35">
        <v>64</v>
      </c>
      <c r="R24" s="71">
        <v>852.29999699999996</v>
      </c>
      <c r="S24" s="58"/>
      <c r="T24" s="61"/>
    </row>
    <row r="25" spans="1:20" x14ac:dyDescent="0.25">
      <c r="A25" s="59" t="s">
        <v>620</v>
      </c>
      <c r="B25" s="58"/>
      <c r="C25" s="58"/>
      <c r="D25" s="58"/>
      <c r="E25" s="20" t="s">
        <v>612</v>
      </c>
      <c r="F25" s="21" t="s">
        <v>612</v>
      </c>
      <c r="G25" s="21" t="s">
        <v>612</v>
      </c>
      <c r="H25" s="20" t="s">
        <v>612</v>
      </c>
      <c r="I25" s="21" t="s">
        <v>612</v>
      </c>
      <c r="J25" s="21" t="s">
        <v>612</v>
      </c>
      <c r="K25" s="21" t="s">
        <v>612</v>
      </c>
      <c r="L25" s="22" t="s">
        <v>612</v>
      </c>
      <c r="M25" s="20" t="s">
        <v>612</v>
      </c>
      <c r="N25" s="21" t="s">
        <v>612</v>
      </c>
      <c r="O25" s="21" t="s">
        <v>612</v>
      </c>
      <c r="P25" s="21" t="s">
        <v>612</v>
      </c>
      <c r="Q25" s="22" t="s">
        <v>612</v>
      </c>
      <c r="R25" s="60" t="s">
        <v>612</v>
      </c>
      <c r="S25" s="58"/>
      <c r="T25" s="61"/>
    </row>
    <row r="26" spans="1:20" x14ac:dyDescent="0.25">
      <c r="A26" s="62" t="s">
        <v>613</v>
      </c>
      <c r="B26" s="58"/>
      <c r="C26" s="58"/>
      <c r="D26" s="58"/>
      <c r="E26" s="23" t="s">
        <v>612</v>
      </c>
      <c r="F26" s="24" t="s">
        <v>612</v>
      </c>
      <c r="G26" s="24" t="s">
        <v>612</v>
      </c>
      <c r="H26" s="23" t="s">
        <v>612</v>
      </c>
      <c r="I26" s="24" t="s">
        <v>612</v>
      </c>
      <c r="J26" s="24" t="s">
        <v>612</v>
      </c>
      <c r="K26" s="24" t="s">
        <v>612</v>
      </c>
      <c r="L26" s="25" t="s">
        <v>612</v>
      </c>
      <c r="M26" s="26" t="s">
        <v>612</v>
      </c>
      <c r="N26" s="27" t="s">
        <v>612</v>
      </c>
      <c r="O26" s="27" t="s">
        <v>612</v>
      </c>
      <c r="P26" s="27" t="s">
        <v>612</v>
      </c>
      <c r="Q26" s="28" t="s">
        <v>612</v>
      </c>
      <c r="R26" s="63" t="s">
        <v>612</v>
      </c>
      <c r="S26" s="58"/>
      <c r="T26" s="61"/>
    </row>
    <row r="27" spans="1:20" x14ac:dyDescent="0.25">
      <c r="A27" s="64" t="s">
        <v>621</v>
      </c>
      <c r="B27" s="58"/>
      <c r="C27" s="58"/>
      <c r="D27" s="58"/>
      <c r="E27" s="29">
        <v>863.5</v>
      </c>
      <c r="F27" s="30" t="s">
        <v>612</v>
      </c>
      <c r="G27" s="30" t="s">
        <v>612</v>
      </c>
      <c r="H27" s="29">
        <v>810.71666600000003</v>
      </c>
      <c r="I27" s="31">
        <v>44.783334000000004</v>
      </c>
      <c r="J27" s="31">
        <v>0</v>
      </c>
      <c r="K27" s="31">
        <v>0</v>
      </c>
      <c r="L27" s="32">
        <v>855.5</v>
      </c>
      <c r="M27" s="29">
        <v>0</v>
      </c>
      <c r="N27" s="31">
        <v>8</v>
      </c>
      <c r="O27" s="31">
        <v>0</v>
      </c>
      <c r="P27" s="31">
        <v>0</v>
      </c>
      <c r="Q27" s="31">
        <v>8</v>
      </c>
      <c r="R27" s="65">
        <v>863.5</v>
      </c>
      <c r="S27" s="58"/>
      <c r="T27" s="61"/>
    </row>
    <row r="28" spans="1:20" x14ac:dyDescent="0.25">
      <c r="A28" s="64" t="s">
        <v>622</v>
      </c>
      <c r="B28" s="58"/>
      <c r="C28" s="58"/>
      <c r="D28" s="58"/>
      <c r="E28" s="29">
        <v>443.96666900000002</v>
      </c>
      <c r="F28" s="30" t="s">
        <v>612</v>
      </c>
      <c r="G28" s="30" t="s">
        <v>612</v>
      </c>
      <c r="H28" s="29">
        <v>433.58333499999998</v>
      </c>
      <c r="I28" s="31">
        <v>2.3833340000000001</v>
      </c>
      <c r="J28" s="31">
        <v>0</v>
      </c>
      <c r="K28" s="31">
        <v>0</v>
      </c>
      <c r="L28" s="32">
        <v>435.96666900000002</v>
      </c>
      <c r="M28" s="29">
        <v>0</v>
      </c>
      <c r="N28" s="31">
        <v>8</v>
      </c>
      <c r="O28" s="31">
        <v>0</v>
      </c>
      <c r="P28" s="31">
        <v>0</v>
      </c>
      <c r="Q28" s="31">
        <v>8</v>
      </c>
      <c r="R28" s="65">
        <v>443.96666900000002</v>
      </c>
      <c r="S28" s="58"/>
      <c r="T28" s="61"/>
    </row>
    <row r="29" spans="1:20" x14ac:dyDescent="0.25">
      <c r="A29" s="70" t="s">
        <v>623</v>
      </c>
      <c r="B29" s="58"/>
      <c r="C29" s="58"/>
      <c r="D29" s="58"/>
      <c r="E29" s="33">
        <v>1307.4666689999999</v>
      </c>
      <c r="F29" s="34">
        <v>1680</v>
      </c>
      <c r="G29" s="34">
        <v>-372.53333099999998</v>
      </c>
      <c r="H29" s="33">
        <v>1244.3000010000001</v>
      </c>
      <c r="I29" s="35">
        <v>47.166668000000001</v>
      </c>
      <c r="J29" s="35">
        <v>0</v>
      </c>
      <c r="K29" s="35">
        <v>0</v>
      </c>
      <c r="L29" s="36">
        <v>1291.4666689999999</v>
      </c>
      <c r="M29" s="33">
        <v>0</v>
      </c>
      <c r="N29" s="37">
        <v>16</v>
      </c>
      <c r="O29" s="35">
        <v>0</v>
      </c>
      <c r="P29" s="35">
        <v>0</v>
      </c>
      <c r="Q29" s="35">
        <v>16</v>
      </c>
      <c r="R29" s="71">
        <v>1307.4666689999999</v>
      </c>
      <c r="S29" s="58"/>
      <c r="T29" s="61"/>
    </row>
    <row r="30" spans="1:20" x14ac:dyDescent="0.25">
      <c r="A30" s="59" t="s">
        <v>624</v>
      </c>
      <c r="B30" s="58"/>
      <c r="C30" s="58"/>
      <c r="D30" s="58"/>
      <c r="E30" s="20" t="s">
        <v>612</v>
      </c>
      <c r="F30" s="21" t="s">
        <v>612</v>
      </c>
      <c r="G30" s="21" t="s">
        <v>612</v>
      </c>
      <c r="H30" s="20" t="s">
        <v>612</v>
      </c>
      <c r="I30" s="21" t="s">
        <v>612</v>
      </c>
      <c r="J30" s="21" t="s">
        <v>612</v>
      </c>
      <c r="K30" s="21" t="s">
        <v>612</v>
      </c>
      <c r="L30" s="22" t="s">
        <v>612</v>
      </c>
      <c r="M30" s="20" t="s">
        <v>612</v>
      </c>
      <c r="N30" s="21" t="s">
        <v>612</v>
      </c>
      <c r="O30" s="21" t="s">
        <v>612</v>
      </c>
      <c r="P30" s="21" t="s">
        <v>612</v>
      </c>
      <c r="Q30" s="22" t="s">
        <v>612</v>
      </c>
      <c r="R30" s="60" t="s">
        <v>612</v>
      </c>
      <c r="S30" s="58"/>
      <c r="T30" s="61"/>
    </row>
    <row r="31" spans="1:20" x14ac:dyDescent="0.25">
      <c r="A31" s="62" t="s">
        <v>613</v>
      </c>
      <c r="B31" s="58"/>
      <c r="C31" s="58"/>
      <c r="D31" s="58"/>
      <c r="E31" s="23" t="s">
        <v>612</v>
      </c>
      <c r="F31" s="24" t="s">
        <v>612</v>
      </c>
      <c r="G31" s="24" t="s">
        <v>612</v>
      </c>
      <c r="H31" s="23" t="s">
        <v>612</v>
      </c>
      <c r="I31" s="24" t="s">
        <v>612</v>
      </c>
      <c r="J31" s="24" t="s">
        <v>612</v>
      </c>
      <c r="K31" s="24" t="s">
        <v>612</v>
      </c>
      <c r="L31" s="25" t="s">
        <v>612</v>
      </c>
      <c r="M31" s="26" t="s">
        <v>612</v>
      </c>
      <c r="N31" s="27" t="s">
        <v>612</v>
      </c>
      <c r="O31" s="27" t="s">
        <v>612</v>
      </c>
      <c r="P31" s="27" t="s">
        <v>612</v>
      </c>
      <c r="Q31" s="28" t="s">
        <v>612</v>
      </c>
      <c r="R31" s="63" t="s">
        <v>612</v>
      </c>
      <c r="S31" s="58"/>
      <c r="T31" s="61"/>
    </row>
    <row r="32" spans="1:20" x14ac:dyDescent="0.25">
      <c r="A32" s="64" t="s">
        <v>625</v>
      </c>
      <c r="B32" s="58"/>
      <c r="C32" s="58"/>
      <c r="D32" s="58"/>
      <c r="E32" s="29">
        <v>835.54999799999996</v>
      </c>
      <c r="F32" s="30" t="s">
        <v>612</v>
      </c>
      <c r="G32" s="30" t="s">
        <v>612</v>
      </c>
      <c r="H32" s="29">
        <v>738.04999799999996</v>
      </c>
      <c r="I32" s="31">
        <v>0</v>
      </c>
      <c r="J32" s="31">
        <v>0</v>
      </c>
      <c r="K32" s="31">
        <v>0</v>
      </c>
      <c r="L32" s="32">
        <v>738.04999799999996</v>
      </c>
      <c r="M32" s="29">
        <v>69.5</v>
      </c>
      <c r="N32" s="31">
        <v>24</v>
      </c>
      <c r="O32" s="31">
        <v>0</v>
      </c>
      <c r="P32" s="31">
        <v>4</v>
      </c>
      <c r="Q32" s="31">
        <v>97.5</v>
      </c>
      <c r="R32" s="65">
        <v>835.54999799999996</v>
      </c>
      <c r="S32" s="58"/>
      <c r="T32" s="61"/>
    </row>
    <row r="33" spans="1:20" x14ac:dyDescent="0.25">
      <c r="A33" s="70" t="s">
        <v>626</v>
      </c>
      <c r="B33" s="58"/>
      <c r="C33" s="58"/>
      <c r="D33" s="58"/>
      <c r="E33" s="33">
        <v>835.54999799999996</v>
      </c>
      <c r="F33" s="34">
        <v>840</v>
      </c>
      <c r="G33" s="34">
        <v>-4.4500019999998104</v>
      </c>
      <c r="H33" s="33">
        <v>738.04999799999996</v>
      </c>
      <c r="I33" s="35">
        <v>0</v>
      </c>
      <c r="J33" s="35">
        <v>0</v>
      </c>
      <c r="K33" s="35">
        <v>0</v>
      </c>
      <c r="L33" s="36">
        <v>738.04999799999996</v>
      </c>
      <c r="M33" s="33">
        <v>69.5</v>
      </c>
      <c r="N33" s="37">
        <v>24</v>
      </c>
      <c r="O33" s="35">
        <v>0</v>
      </c>
      <c r="P33" s="35">
        <v>4</v>
      </c>
      <c r="Q33" s="35">
        <v>97.5</v>
      </c>
      <c r="R33" s="71">
        <v>835.54999799999996</v>
      </c>
      <c r="S33" s="58"/>
      <c r="T33" s="61"/>
    </row>
    <row r="34" spans="1:20" x14ac:dyDescent="0.25">
      <c r="A34" s="72" t="s">
        <v>627</v>
      </c>
      <c r="B34" s="58"/>
      <c r="C34" s="58"/>
      <c r="D34" s="58"/>
      <c r="E34" s="38">
        <v>3945.6333319999999</v>
      </c>
      <c r="F34" s="39">
        <v>4200</v>
      </c>
      <c r="G34" s="40">
        <v>-254.366668</v>
      </c>
      <c r="H34" s="38">
        <v>3578.966664</v>
      </c>
      <c r="I34" s="40">
        <v>82.033334999999994</v>
      </c>
      <c r="J34" s="40">
        <v>0</v>
      </c>
      <c r="K34" s="40">
        <v>0</v>
      </c>
      <c r="L34" s="41">
        <v>3660.9999990000001</v>
      </c>
      <c r="M34" s="38">
        <v>177.63333299999999</v>
      </c>
      <c r="N34" s="42">
        <v>88</v>
      </c>
      <c r="O34" s="43">
        <v>0</v>
      </c>
      <c r="P34" s="43">
        <v>19</v>
      </c>
      <c r="Q34" s="43">
        <v>284.63333299999999</v>
      </c>
      <c r="R34" s="73">
        <v>3945.6333319999999</v>
      </c>
      <c r="S34" s="58"/>
      <c r="T34" s="61"/>
    </row>
    <row r="35" spans="1:20" ht="3.95" customHeight="1" x14ac:dyDescent="0.25">
      <c r="A35" s="74" t="s">
        <v>612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</row>
    <row r="36" spans="1:20" ht="18" customHeight="1" x14ac:dyDescent="0.25">
      <c r="A36" s="57" t="s">
        <v>628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</row>
    <row r="37" spans="1:20" x14ac:dyDescent="0.25">
      <c r="A37" s="59" t="s">
        <v>629</v>
      </c>
      <c r="B37" s="58"/>
      <c r="C37" s="58"/>
      <c r="D37" s="58"/>
      <c r="E37" s="20" t="s">
        <v>612</v>
      </c>
      <c r="F37" s="21" t="s">
        <v>612</v>
      </c>
      <c r="G37" s="21" t="s">
        <v>612</v>
      </c>
      <c r="H37" s="20" t="s">
        <v>612</v>
      </c>
      <c r="I37" s="21" t="s">
        <v>612</v>
      </c>
      <c r="J37" s="21" t="s">
        <v>612</v>
      </c>
      <c r="K37" s="21" t="s">
        <v>612</v>
      </c>
      <c r="L37" s="22" t="s">
        <v>612</v>
      </c>
      <c r="M37" s="20" t="s">
        <v>612</v>
      </c>
      <c r="N37" s="21" t="s">
        <v>612</v>
      </c>
      <c r="O37" s="21" t="s">
        <v>612</v>
      </c>
      <c r="P37" s="21" t="s">
        <v>612</v>
      </c>
      <c r="Q37" s="22" t="s">
        <v>612</v>
      </c>
      <c r="R37" s="60" t="s">
        <v>612</v>
      </c>
      <c r="S37" s="58"/>
      <c r="T37" s="61"/>
    </row>
    <row r="38" spans="1:20" x14ac:dyDescent="0.25">
      <c r="A38" s="62" t="s">
        <v>613</v>
      </c>
      <c r="B38" s="58"/>
      <c r="C38" s="58"/>
      <c r="D38" s="58"/>
      <c r="E38" s="23" t="s">
        <v>612</v>
      </c>
      <c r="F38" s="24" t="s">
        <v>612</v>
      </c>
      <c r="G38" s="24" t="s">
        <v>612</v>
      </c>
      <c r="H38" s="23" t="s">
        <v>612</v>
      </c>
      <c r="I38" s="24" t="s">
        <v>612</v>
      </c>
      <c r="J38" s="24" t="s">
        <v>612</v>
      </c>
      <c r="K38" s="24" t="s">
        <v>612</v>
      </c>
      <c r="L38" s="25" t="s">
        <v>612</v>
      </c>
      <c r="M38" s="26" t="s">
        <v>612</v>
      </c>
      <c r="N38" s="27" t="s">
        <v>612</v>
      </c>
      <c r="O38" s="27" t="s">
        <v>612</v>
      </c>
      <c r="P38" s="27" t="s">
        <v>612</v>
      </c>
      <c r="Q38" s="28" t="s">
        <v>612</v>
      </c>
      <c r="R38" s="63" t="s">
        <v>612</v>
      </c>
      <c r="S38" s="58"/>
      <c r="T38" s="61"/>
    </row>
    <row r="39" spans="1:20" x14ac:dyDescent="0.25">
      <c r="A39" s="64" t="s">
        <v>630</v>
      </c>
      <c r="B39" s="58"/>
      <c r="C39" s="58"/>
      <c r="D39" s="58"/>
      <c r="E39" s="29">
        <v>872.10000500000001</v>
      </c>
      <c r="F39" s="30" t="s">
        <v>612</v>
      </c>
      <c r="G39" s="30" t="s">
        <v>612</v>
      </c>
      <c r="H39" s="29">
        <v>802.35000500000001</v>
      </c>
      <c r="I39" s="31">
        <v>0.75</v>
      </c>
      <c r="J39" s="31">
        <v>0</v>
      </c>
      <c r="K39" s="31">
        <v>0</v>
      </c>
      <c r="L39" s="32">
        <v>803.10000500000001</v>
      </c>
      <c r="M39" s="29">
        <v>43.5</v>
      </c>
      <c r="N39" s="31">
        <v>24</v>
      </c>
      <c r="O39" s="31">
        <v>1.5</v>
      </c>
      <c r="P39" s="31">
        <v>0</v>
      </c>
      <c r="Q39" s="31">
        <v>69</v>
      </c>
      <c r="R39" s="65">
        <v>872.10000500000001</v>
      </c>
      <c r="S39" s="58"/>
      <c r="T39" s="61"/>
    </row>
    <row r="40" spans="1:20" x14ac:dyDescent="0.25">
      <c r="A40" s="70" t="s">
        <v>631</v>
      </c>
      <c r="B40" s="58"/>
      <c r="C40" s="58"/>
      <c r="D40" s="58"/>
      <c r="E40" s="33">
        <v>872.10000500000001</v>
      </c>
      <c r="F40" s="34">
        <v>840</v>
      </c>
      <c r="G40" s="34">
        <v>32.100005000000003</v>
      </c>
      <c r="H40" s="33">
        <v>802.35000500000001</v>
      </c>
      <c r="I40" s="35">
        <v>0.75</v>
      </c>
      <c r="J40" s="35">
        <v>0</v>
      </c>
      <c r="K40" s="35">
        <v>0</v>
      </c>
      <c r="L40" s="36">
        <v>803.10000500000001</v>
      </c>
      <c r="M40" s="33">
        <v>43.5</v>
      </c>
      <c r="N40" s="37">
        <v>24</v>
      </c>
      <c r="O40" s="35">
        <v>1.5</v>
      </c>
      <c r="P40" s="35">
        <v>0</v>
      </c>
      <c r="Q40" s="35">
        <v>69</v>
      </c>
      <c r="R40" s="71">
        <v>872.10000500000001</v>
      </c>
      <c r="S40" s="58"/>
      <c r="T40" s="61"/>
    </row>
    <row r="41" spans="1:20" x14ac:dyDescent="0.25">
      <c r="A41" s="59" t="s">
        <v>632</v>
      </c>
      <c r="B41" s="58"/>
      <c r="C41" s="58"/>
      <c r="D41" s="58"/>
      <c r="E41" s="20" t="s">
        <v>612</v>
      </c>
      <c r="F41" s="21" t="s">
        <v>612</v>
      </c>
      <c r="G41" s="21" t="s">
        <v>612</v>
      </c>
      <c r="H41" s="20" t="s">
        <v>612</v>
      </c>
      <c r="I41" s="21" t="s">
        <v>612</v>
      </c>
      <c r="J41" s="21" t="s">
        <v>612</v>
      </c>
      <c r="K41" s="21" t="s">
        <v>612</v>
      </c>
      <c r="L41" s="22" t="s">
        <v>612</v>
      </c>
      <c r="M41" s="20" t="s">
        <v>612</v>
      </c>
      <c r="N41" s="21" t="s">
        <v>612</v>
      </c>
      <c r="O41" s="21" t="s">
        <v>612</v>
      </c>
      <c r="P41" s="21" t="s">
        <v>612</v>
      </c>
      <c r="Q41" s="22" t="s">
        <v>612</v>
      </c>
      <c r="R41" s="60" t="s">
        <v>612</v>
      </c>
      <c r="S41" s="58"/>
      <c r="T41" s="61"/>
    </row>
    <row r="42" spans="1:20" x14ac:dyDescent="0.25">
      <c r="A42" s="62" t="s">
        <v>613</v>
      </c>
      <c r="B42" s="58"/>
      <c r="C42" s="58"/>
      <c r="D42" s="58"/>
      <c r="E42" s="23" t="s">
        <v>612</v>
      </c>
      <c r="F42" s="24" t="s">
        <v>612</v>
      </c>
      <c r="G42" s="24" t="s">
        <v>612</v>
      </c>
      <c r="H42" s="23" t="s">
        <v>612</v>
      </c>
      <c r="I42" s="24" t="s">
        <v>612</v>
      </c>
      <c r="J42" s="24" t="s">
        <v>612</v>
      </c>
      <c r="K42" s="24" t="s">
        <v>612</v>
      </c>
      <c r="L42" s="25" t="s">
        <v>612</v>
      </c>
      <c r="M42" s="26" t="s">
        <v>612</v>
      </c>
      <c r="N42" s="27" t="s">
        <v>612</v>
      </c>
      <c r="O42" s="27" t="s">
        <v>612</v>
      </c>
      <c r="P42" s="27" t="s">
        <v>612</v>
      </c>
      <c r="Q42" s="28" t="s">
        <v>612</v>
      </c>
      <c r="R42" s="63" t="s">
        <v>612</v>
      </c>
      <c r="S42" s="58"/>
      <c r="T42" s="61"/>
    </row>
    <row r="43" spans="1:20" x14ac:dyDescent="0.25">
      <c r="A43" s="64" t="s">
        <v>633</v>
      </c>
      <c r="B43" s="58"/>
      <c r="C43" s="58"/>
      <c r="D43" s="58"/>
      <c r="E43" s="29">
        <v>865.93333700000005</v>
      </c>
      <c r="F43" s="30" t="s">
        <v>612</v>
      </c>
      <c r="G43" s="30" t="s">
        <v>612</v>
      </c>
      <c r="H43" s="29">
        <v>776.43333700000005</v>
      </c>
      <c r="I43" s="31">
        <v>0</v>
      </c>
      <c r="J43" s="31">
        <v>0</v>
      </c>
      <c r="K43" s="31">
        <v>0</v>
      </c>
      <c r="L43" s="32">
        <v>776.43333700000005</v>
      </c>
      <c r="M43" s="29">
        <v>64</v>
      </c>
      <c r="N43" s="31">
        <v>24</v>
      </c>
      <c r="O43" s="31">
        <v>1.5</v>
      </c>
      <c r="P43" s="31">
        <v>0</v>
      </c>
      <c r="Q43" s="31">
        <v>89.5</v>
      </c>
      <c r="R43" s="65">
        <v>865.93333700000005</v>
      </c>
      <c r="S43" s="58"/>
      <c r="T43" s="61"/>
    </row>
    <row r="44" spans="1:20" x14ac:dyDescent="0.25">
      <c r="A44" s="62" t="s">
        <v>634</v>
      </c>
      <c r="B44" s="58"/>
      <c r="C44" s="58"/>
      <c r="D44" s="58"/>
      <c r="E44" s="23" t="s">
        <v>612</v>
      </c>
      <c r="F44" s="24" t="s">
        <v>612</v>
      </c>
      <c r="G44" s="24" t="s">
        <v>612</v>
      </c>
      <c r="H44" s="23" t="s">
        <v>612</v>
      </c>
      <c r="I44" s="24" t="s">
        <v>612</v>
      </c>
      <c r="J44" s="24" t="s">
        <v>612</v>
      </c>
      <c r="K44" s="24" t="s">
        <v>612</v>
      </c>
      <c r="L44" s="25" t="s">
        <v>612</v>
      </c>
      <c r="M44" s="26" t="s">
        <v>612</v>
      </c>
      <c r="N44" s="27" t="s">
        <v>612</v>
      </c>
      <c r="O44" s="27" t="s">
        <v>612</v>
      </c>
      <c r="P44" s="27" t="s">
        <v>612</v>
      </c>
      <c r="Q44" s="28" t="s">
        <v>612</v>
      </c>
      <c r="R44" s="63" t="s">
        <v>612</v>
      </c>
      <c r="S44" s="58"/>
      <c r="T44" s="61"/>
    </row>
    <row r="45" spans="1:20" x14ac:dyDescent="0.25">
      <c r="A45" s="64" t="s">
        <v>635</v>
      </c>
      <c r="B45" s="58"/>
      <c r="C45" s="58"/>
      <c r="D45" s="58"/>
      <c r="E45" s="29">
        <v>68.733334999999997</v>
      </c>
      <c r="F45" s="30" t="s">
        <v>612</v>
      </c>
      <c r="G45" s="30" t="s">
        <v>612</v>
      </c>
      <c r="H45" s="29">
        <v>68.733334999999997</v>
      </c>
      <c r="I45" s="31">
        <v>0</v>
      </c>
      <c r="J45" s="31">
        <v>0</v>
      </c>
      <c r="K45" s="31">
        <v>0</v>
      </c>
      <c r="L45" s="32">
        <v>68.733334999999997</v>
      </c>
      <c r="M45" s="29">
        <v>0</v>
      </c>
      <c r="N45" s="31">
        <v>0</v>
      </c>
      <c r="O45" s="31">
        <v>0</v>
      </c>
      <c r="P45" s="31">
        <v>0</v>
      </c>
      <c r="Q45" s="31">
        <v>0</v>
      </c>
      <c r="R45" s="65">
        <v>68.733334999999997</v>
      </c>
      <c r="S45" s="58"/>
      <c r="T45" s="61"/>
    </row>
    <row r="46" spans="1:20" x14ac:dyDescent="0.25">
      <c r="A46" s="70" t="s">
        <v>636</v>
      </c>
      <c r="B46" s="58"/>
      <c r="C46" s="58"/>
      <c r="D46" s="58"/>
      <c r="E46" s="33">
        <v>934.66667199999995</v>
      </c>
      <c r="F46" s="34">
        <v>840</v>
      </c>
      <c r="G46" s="34">
        <v>94.666672000000105</v>
      </c>
      <c r="H46" s="33">
        <v>845.16667199999995</v>
      </c>
      <c r="I46" s="35">
        <v>0</v>
      </c>
      <c r="J46" s="35">
        <v>0</v>
      </c>
      <c r="K46" s="35">
        <v>0</v>
      </c>
      <c r="L46" s="36">
        <v>845.16667199999995</v>
      </c>
      <c r="M46" s="33">
        <v>64</v>
      </c>
      <c r="N46" s="37">
        <v>24</v>
      </c>
      <c r="O46" s="35">
        <v>1.5</v>
      </c>
      <c r="P46" s="35">
        <v>0</v>
      </c>
      <c r="Q46" s="35">
        <v>89.5</v>
      </c>
      <c r="R46" s="71">
        <v>934.66667199999995</v>
      </c>
      <c r="S46" s="58"/>
      <c r="T46" s="61"/>
    </row>
    <row r="47" spans="1:20" x14ac:dyDescent="0.25">
      <c r="A47" s="72" t="s">
        <v>637</v>
      </c>
      <c r="B47" s="58"/>
      <c r="C47" s="58"/>
      <c r="D47" s="58"/>
      <c r="E47" s="38">
        <v>1806.7666770000001</v>
      </c>
      <c r="F47" s="39">
        <v>1680</v>
      </c>
      <c r="G47" s="40">
        <v>126.766677</v>
      </c>
      <c r="H47" s="38">
        <v>1647.5166770000001</v>
      </c>
      <c r="I47" s="40">
        <v>0.75</v>
      </c>
      <c r="J47" s="40">
        <v>0</v>
      </c>
      <c r="K47" s="40">
        <v>0</v>
      </c>
      <c r="L47" s="41">
        <v>1648.2666770000001</v>
      </c>
      <c r="M47" s="38">
        <v>107.5</v>
      </c>
      <c r="N47" s="42">
        <v>48</v>
      </c>
      <c r="O47" s="43">
        <v>3</v>
      </c>
      <c r="P47" s="43">
        <v>0</v>
      </c>
      <c r="Q47" s="43">
        <v>158.5</v>
      </c>
      <c r="R47" s="73">
        <v>1806.7666770000001</v>
      </c>
      <c r="S47" s="58"/>
      <c r="T47" s="61"/>
    </row>
    <row r="48" spans="1:20" ht="3.95" customHeight="1" x14ac:dyDescent="0.25">
      <c r="A48" s="74" t="s">
        <v>612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ht="18" customHeight="1" x14ac:dyDescent="0.25">
      <c r="A49" s="57" t="s">
        <v>11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</row>
    <row r="50" spans="1:20" x14ac:dyDescent="0.25">
      <c r="A50" s="59" t="s">
        <v>638</v>
      </c>
      <c r="B50" s="58"/>
      <c r="C50" s="58"/>
      <c r="D50" s="58"/>
      <c r="E50" s="20" t="s">
        <v>612</v>
      </c>
      <c r="F50" s="21" t="s">
        <v>612</v>
      </c>
      <c r="G50" s="21" t="s">
        <v>612</v>
      </c>
      <c r="H50" s="20" t="s">
        <v>612</v>
      </c>
      <c r="I50" s="21" t="s">
        <v>612</v>
      </c>
      <c r="J50" s="21" t="s">
        <v>612</v>
      </c>
      <c r="K50" s="21" t="s">
        <v>612</v>
      </c>
      <c r="L50" s="22" t="s">
        <v>612</v>
      </c>
      <c r="M50" s="20" t="s">
        <v>612</v>
      </c>
      <c r="N50" s="21" t="s">
        <v>612</v>
      </c>
      <c r="O50" s="21" t="s">
        <v>612</v>
      </c>
      <c r="P50" s="21" t="s">
        <v>612</v>
      </c>
      <c r="Q50" s="22" t="s">
        <v>612</v>
      </c>
      <c r="R50" s="60" t="s">
        <v>612</v>
      </c>
      <c r="S50" s="58"/>
      <c r="T50" s="61"/>
    </row>
    <row r="51" spans="1:20" x14ac:dyDescent="0.25">
      <c r="A51" s="62" t="s">
        <v>613</v>
      </c>
      <c r="B51" s="58"/>
      <c r="C51" s="58"/>
      <c r="D51" s="58"/>
      <c r="E51" s="23" t="s">
        <v>612</v>
      </c>
      <c r="F51" s="24" t="s">
        <v>612</v>
      </c>
      <c r="G51" s="24" t="s">
        <v>612</v>
      </c>
      <c r="H51" s="23" t="s">
        <v>612</v>
      </c>
      <c r="I51" s="24" t="s">
        <v>612</v>
      </c>
      <c r="J51" s="24" t="s">
        <v>612</v>
      </c>
      <c r="K51" s="24" t="s">
        <v>612</v>
      </c>
      <c r="L51" s="25" t="s">
        <v>612</v>
      </c>
      <c r="M51" s="26" t="s">
        <v>612</v>
      </c>
      <c r="N51" s="27" t="s">
        <v>612</v>
      </c>
      <c r="O51" s="27" t="s">
        <v>612</v>
      </c>
      <c r="P51" s="27" t="s">
        <v>612</v>
      </c>
      <c r="Q51" s="28" t="s">
        <v>612</v>
      </c>
      <c r="R51" s="63" t="s">
        <v>612</v>
      </c>
      <c r="S51" s="58"/>
      <c r="T51" s="61"/>
    </row>
    <row r="52" spans="1:20" x14ac:dyDescent="0.25">
      <c r="A52" s="64" t="s">
        <v>639</v>
      </c>
      <c r="B52" s="58"/>
      <c r="C52" s="58"/>
      <c r="D52" s="58"/>
      <c r="E52" s="29">
        <v>806.18332999999996</v>
      </c>
      <c r="F52" s="30" t="s">
        <v>612</v>
      </c>
      <c r="G52" s="30" t="s">
        <v>612</v>
      </c>
      <c r="H52" s="29">
        <v>758.18332999999996</v>
      </c>
      <c r="I52" s="31">
        <v>0</v>
      </c>
      <c r="J52" s="31">
        <v>0</v>
      </c>
      <c r="K52" s="31">
        <v>0</v>
      </c>
      <c r="L52" s="32">
        <v>758.18332999999996</v>
      </c>
      <c r="M52" s="29">
        <v>0</v>
      </c>
      <c r="N52" s="31">
        <v>24</v>
      </c>
      <c r="O52" s="31">
        <v>11.5</v>
      </c>
      <c r="P52" s="31">
        <v>12.5</v>
      </c>
      <c r="Q52" s="31">
        <v>48</v>
      </c>
      <c r="R52" s="65">
        <v>806.18332999999996</v>
      </c>
      <c r="S52" s="58"/>
      <c r="T52" s="61"/>
    </row>
    <row r="53" spans="1:20" x14ac:dyDescent="0.25">
      <c r="A53" s="64" t="s">
        <v>640</v>
      </c>
      <c r="B53" s="58"/>
      <c r="C53" s="58"/>
      <c r="D53" s="58"/>
      <c r="E53" s="29">
        <v>734.43333700000005</v>
      </c>
      <c r="F53" s="30" t="s">
        <v>612</v>
      </c>
      <c r="G53" s="30" t="s">
        <v>612</v>
      </c>
      <c r="H53" s="29">
        <v>703.93333700000005</v>
      </c>
      <c r="I53" s="31">
        <v>0</v>
      </c>
      <c r="J53" s="31">
        <v>0</v>
      </c>
      <c r="K53" s="31">
        <v>0</v>
      </c>
      <c r="L53" s="32">
        <v>703.93333700000005</v>
      </c>
      <c r="M53" s="29">
        <v>0</v>
      </c>
      <c r="N53" s="31">
        <v>24</v>
      </c>
      <c r="O53" s="31">
        <v>6.5</v>
      </c>
      <c r="P53" s="31">
        <v>0</v>
      </c>
      <c r="Q53" s="31">
        <v>30.5</v>
      </c>
      <c r="R53" s="65">
        <v>734.43333700000005</v>
      </c>
      <c r="S53" s="58"/>
      <c r="T53" s="61"/>
    </row>
    <row r="54" spans="1:20" x14ac:dyDescent="0.25">
      <c r="A54" s="64" t="s">
        <v>641</v>
      </c>
      <c r="B54" s="58"/>
      <c r="C54" s="58"/>
      <c r="D54" s="58"/>
      <c r="E54" s="29">
        <v>103.2</v>
      </c>
      <c r="F54" s="30" t="s">
        <v>612</v>
      </c>
      <c r="G54" s="30" t="s">
        <v>612</v>
      </c>
      <c r="H54" s="29">
        <v>37.700000000000003</v>
      </c>
      <c r="I54" s="31">
        <v>0</v>
      </c>
      <c r="J54" s="31">
        <v>0</v>
      </c>
      <c r="K54" s="31">
        <v>0</v>
      </c>
      <c r="L54" s="32">
        <v>37.700000000000003</v>
      </c>
      <c r="M54" s="29">
        <v>36</v>
      </c>
      <c r="N54" s="31">
        <v>24</v>
      </c>
      <c r="O54" s="31">
        <v>5.5</v>
      </c>
      <c r="P54" s="31">
        <v>0</v>
      </c>
      <c r="Q54" s="31">
        <v>65.5</v>
      </c>
      <c r="R54" s="65">
        <v>103.2</v>
      </c>
      <c r="S54" s="58"/>
      <c r="T54" s="61"/>
    </row>
    <row r="55" spans="1:20" x14ac:dyDescent="0.25">
      <c r="A55" s="64" t="s">
        <v>642</v>
      </c>
      <c r="B55" s="58"/>
      <c r="C55" s="58"/>
      <c r="D55" s="58"/>
      <c r="E55" s="29">
        <v>829.11666400000001</v>
      </c>
      <c r="F55" s="30" t="s">
        <v>612</v>
      </c>
      <c r="G55" s="30" t="s">
        <v>612</v>
      </c>
      <c r="H55" s="29">
        <v>728.19999800000005</v>
      </c>
      <c r="I55" s="31">
        <v>8.9166659999999993</v>
      </c>
      <c r="J55" s="31">
        <v>0</v>
      </c>
      <c r="K55" s="31">
        <v>0</v>
      </c>
      <c r="L55" s="32">
        <v>737.11666400000001</v>
      </c>
      <c r="M55" s="29">
        <v>36</v>
      </c>
      <c r="N55" s="31">
        <v>24</v>
      </c>
      <c r="O55" s="31">
        <v>7</v>
      </c>
      <c r="P55" s="31">
        <v>25</v>
      </c>
      <c r="Q55" s="31">
        <v>92</v>
      </c>
      <c r="R55" s="65">
        <v>829.11666400000001</v>
      </c>
      <c r="S55" s="58"/>
      <c r="T55" s="61"/>
    </row>
    <row r="56" spans="1:20" x14ac:dyDescent="0.25">
      <c r="A56" s="64" t="s">
        <v>643</v>
      </c>
      <c r="B56" s="58"/>
      <c r="C56" s="58"/>
      <c r="D56" s="58"/>
      <c r="E56" s="29">
        <v>77.25</v>
      </c>
      <c r="F56" s="30" t="s">
        <v>612</v>
      </c>
      <c r="G56" s="30" t="s">
        <v>612</v>
      </c>
      <c r="H56" s="29">
        <v>67.25</v>
      </c>
      <c r="I56" s="31">
        <v>0</v>
      </c>
      <c r="J56" s="31">
        <v>0</v>
      </c>
      <c r="K56" s="31">
        <v>0</v>
      </c>
      <c r="L56" s="32">
        <v>67.25</v>
      </c>
      <c r="M56" s="29">
        <v>0</v>
      </c>
      <c r="N56" s="31">
        <v>0</v>
      </c>
      <c r="O56" s="31">
        <v>0</v>
      </c>
      <c r="P56" s="31">
        <v>10</v>
      </c>
      <c r="Q56" s="31">
        <v>10</v>
      </c>
      <c r="R56" s="65">
        <v>77.25</v>
      </c>
      <c r="S56" s="58"/>
      <c r="T56" s="61"/>
    </row>
    <row r="57" spans="1:20" x14ac:dyDescent="0.25">
      <c r="A57" s="64" t="s">
        <v>644</v>
      </c>
      <c r="B57" s="58"/>
      <c r="C57" s="58"/>
      <c r="D57" s="58"/>
      <c r="E57" s="29">
        <v>7.2166670000000002</v>
      </c>
      <c r="F57" s="30" t="s">
        <v>612</v>
      </c>
      <c r="G57" s="30" t="s">
        <v>612</v>
      </c>
      <c r="H57" s="29">
        <v>7.2166670000000002</v>
      </c>
      <c r="I57" s="31">
        <v>0</v>
      </c>
      <c r="J57" s="31">
        <v>0</v>
      </c>
      <c r="K57" s="31">
        <v>0</v>
      </c>
      <c r="L57" s="32">
        <v>7.2166670000000002</v>
      </c>
      <c r="M57" s="29">
        <v>0</v>
      </c>
      <c r="N57" s="31">
        <v>0</v>
      </c>
      <c r="O57" s="31">
        <v>0</v>
      </c>
      <c r="P57" s="31">
        <v>0</v>
      </c>
      <c r="Q57" s="31">
        <v>0</v>
      </c>
      <c r="R57" s="65">
        <v>7.2166670000000002</v>
      </c>
      <c r="S57" s="58"/>
      <c r="T57" s="61"/>
    </row>
    <row r="58" spans="1:20" x14ac:dyDescent="0.25">
      <c r="A58" s="64" t="s">
        <v>645</v>
      </c>
      <c r="B58" s="58"/>
      <c r="C58" s="58"/>
      <c r="D58" s="58"/>
      <c r="E58" s="29">
        <v>784.11666300000002</v>
      </c>
      <c r="F58" s="30" t="s">
        <v>612</v>
      </c>
      <c r="G58" s="30" t="s">
        <v>612</v>
      </c>
      <c r="H58" s="29">
        <v>727.46666300000004</v>
      </c>
      <c r="I58" s="31">
        <v>1.65</v>
      </c>
      <c r="J58" s="31">
        <v>0</v>
      </c>
      <c r="K58" s="31">
        <v>0</v>
      </c>
      <c r="L58" s="32">
        <v>729.11666300000002</v>
      </c>
      <c r="M58" s="29">
        <v>29</v>
      </c>
      <c r="N58" s="31">
        <v>24</v>
      </c>
      <c r="O58" s="31">
        <v>2</v>
      </c>
      <c r="P58" s="31">
        <v>0</v>
      </c>
      <c r="Q58" s="31">
        <v>55</v>
      </c>
      <c r="R58" s="65">
        <v>784.11666300000002</v>
      </c>
      <c r="S58" s="58"/>
      <c r="T58" s="61"/>
    </row>
    <row r="59" spans="1:20" x14ac:dyDescent="0.25">
      <c r="A59" s="64" t="s">
        <v>646</v>
      </c>
      <c r="B59" s="58"/>
      <c r="C59" s="58"/>
      <c r="D59" s="58"/>
      <c r="E59" s="29">
        <v>802.41667199999995</v>
      </c>
      <c r="F59" s="30" t="s">
        <v>612</v>
      </c>
      <c r="G59" s="30" t="s">
        <v>612</v>
      </c>
      <c r="H59" s="29">
        <v>728.90000499999996</v>
      </c>
      <c r="I59" s="31">
        <v>7.7166670000000002</v>
      </c>
      <c r="J59" s="31">
        <v>0</v>
      </c>
      <c r="K59" s="31">
        <v>0</v>
      </c>
      <c r="L59" s="32">
        <v>736.61667199999999</v>
      </c>
      <c r="M59" s="29">
        <v>33.299999999999997</v>
      </c>
      <c r="N59" s="31">
        <v>24</v>
      </c>
      <c r="O59" s="31">
        <v>8.5</v>
      </c>
      <c r="P59" s="31">
        <v>0</v>
      </c>
      <c r="Q59" s="31">
        <v>65.8</v>
      </c>
      <c r="R59" s="65">
        <v>802.41667199999995</v>
      </c>
      <c r="S59" s="58"/>
      <c r="T59" s="61"/>
    </row>
    <row r="60" spans="1:20" x14ac:dyDescent="0.25">
      <c r="A60" s="64" t="s">
        <v>647</v>
      </c>
      <c r="B60" s="58"/>
      <c r="C60" s="58"/>
      <c r="D60" s="58"/>
      <c r="E60" s="29">
        <v>790.483341</v>
      </c>
      <c r="F60" s="30" t="s">
        <v>612</v>
      </c>
      <c r="G60" s="30" t="s">
        <v>612</v>
      </c>
      <c r="H60" s="29">
        <v>713.55000800000005</v>
      </c>
      <c r="I60" s="31">
        <v>8.4333329999999993</v>
      </c>
      <c r="J60" s="31">
        <v>0</v>
      </c>
      <c r="K60" s="31">
        <v>0</v>
      </c>
      <c r="L60" s="32">
        <v>721.983341</v>
      </c>
      <c r="M60" s="29">
        <v>36</v>
      </c>
      <c r="N60" s="31">
        <v>24</v>
      </c>
      <c r="O60" s="31">
        <v>8.5</v>
      </c>
      <c r="P60" s="31">
        <v>0</v>
      </c>
      <c r="Q60" s="31">
        <v>68.5</v>
      </c>
      <c r="R60" s="65">
        <v>790.483341</v>
      </c>
      <c r="S60" s="58"/>
      <c r="T60" s="61"/>
    </row>
    <row r="61" spans="1:20" x14ac:dyDescent="0.25">
      <c r="A61" s="64" t="s">
        <v>648</v>
      </c>
      <c r="B61" s="58"/>
      <c r="C61" s="58"/>
      <c r="D61" s="58"/>
      <c r="E61" s="29">
        <v>753.48333400000001</v>
      </c>
      <c r="F61" s="30" t="s">
        <v>612</v>
      </c>
      <c r="G61" s="30" t="s">
        <v>612</v>
      </c>
      <c r="H61" s="29">
        <v>681.90000099999997</v>
      </c>
      <c r="I61" s="31">
        <v>7.3833330000000004</v>
      </c>
      <c r="J61" s="31">
        <v>0</v>
      </c>
      <c r="K61" s="31">
        <v>0</v>
      </c>
      <c r="L61" s="32">
        <v>689.28333399999997</v>
      </c>
      <c r="M61" s="29">
        <v>33.200000000000003</v>
      </c>
      <c r="N61" s="31">
        <v>24</v>
      </c>
      <c r="O61" s="31">
        <v>7</v>
      </c>
      <c r="P61" s="31">
        <v>0</v>
      </c>
      <c r="Q61" s="31">
        <v>64.2</v>
      </c>
      <c r="R61" s="65">
        <v>753.48333400000001</v>
      </c>
      <c r="S61" s="58"/>
      <c r="T61" s="61"/>
    </row>
    <row r="62" spans="1:20" x14ac:dyDescent="0.25">
      <c r="A62" s="64" t="s">
        <v>649</v>
      </c>
      <c r="B62" s="58"/>
      <c r="C62" s="58"/>
      <c r="D62" s="58"/>
      <c r="E62" s="29">
        <v>57.4</v>
      </c>
      <c r="F62" s="30" t="s">
        <v>612</v>
      </c>
      <c r="G62" s="30" t="s">
        <v>612</v>
      </c>
      <c r="H62" s="29">
        <v>28.916667</v>
      </c>
      <c r="I62" s="31">
        <v>4.483333</v>
      </c>
      <c r="J62" s="31">
        <v>0</v>
      </c>
      <c r="K62" s="31">
        <v>0</v>
      </c>
      <c r="L62" s="32">
        <v>33.4</v>
      </c>
      <c r="M62" s="29">
        <v>8</v>
      </c>
      <c r="N62" s="31">
        <v>16</v>
      </c>
      <c r="O62" s="31">
        <v>0</v>
      </c>
      <c r="P62" s="31">
        <v>0</v>
      </c>
      <c r="Q62" s="31">
        <v>24</v>
      </c>
      <c r="R62" s="65">
        <v>57.4</v>
      </c>
      <c r="S62" s="58"/>
      <c r="T62" s="61"/>
    </row>
    <row r="63" spans="1:20" x14ac:dyDescent="0.25">
      <c r="A63" s="64" t="s">
        <v>650</v>
      </c>
      <c r="B63" s="58"/>
      <c r="C63" s="58"/>
      <c r="D63" s="58"/>
      <c r="E63" s="29">
        <v>819.43333500000006</v>
      </c>
      <c r="F63" s="30" t="s">
        <v>612</v>
      </c>
      <c r="G63" s="30" t="s">
        <v>612</v>
      </c>
      <c r="H63" s="29">
        <v>771.68333500000006</v>
      </c>
      <c r="I63" s="31">
        <v>8.25</v>
      </c>
      <c r="J63" s="31">
        <v>0</v>
      </c>
      <c r="K63" s="31">
        <v>0</v>
      </c>
      <c r="L63" s="32">
        <v>779.93333500000006</v>
      </c>
      <c r="M63" s="29">
        <v>12</v>
      </c>
      <c r="N63" s="31">
        <v>24</v>
      </c>
      <c r="O63" s="31">
        <v>3.5</v>
      </c>
      <c r="P63" s="31">
        <v>0</v>
      </c>
      <c r="Q63" s="31">
        <v>39.5</v>
      </c>
      <c r="R63" s="65">
        <v>819.43333500000006</v>
      </c>
      <c r="S63" s="58"/>
      <c r="T63" s="61"/>
    </row>
    <row r="64" spans="1:20" x14ac:dyDescent="0.25">
      <c r="A64" s="64" t="s">
        <v>651</v>
      </c>
      <c r="B64" s="58"/>
      <c r="C64" s="58"/>
      <c r="D64" s="58"/>
      <c r="E64" s="29">
        <v>803.91666799999996</v>
      </c>
      <c r="F64" s="30" t="s">
        <v>612</v>
      </c>
      <c r="G64" s="30" t="s">
        <v>612</v>
      </c>
      <c r="H64" s="29">
        <v>744.60000100000002</v>
      </c>
      <c r="I64" s="31">
        <v>0.31666699999999998</v>
      </c>
      <c r="J64" s="31">
        <v>0</v>
      </c>
      <c r="K64" s="31">
        <v>0</v>
      </c>
      <c r="L64" s="32">
        <v>744.91666799999996</v>
      </c>
      <c r="M64" s="29">
        <v>24</v>
      </c>
      <c r="N64" s="31">
        <v>24</v>
      </c>
      <c r="O64" s="31">
        <v>11</v>
      </c>
      <c r="P64" s="31">
        <v>0</v>
      </c>
      <c r="Q64" s="31">
        <v>59</v>
      </c>
      <c r="R64" s="65">
        <v>803.91666799999996</v>
      </c>
      <c r="S64" s="58"/>
      <c r="T64" s="61"/>
    </row>
    <row r="65" spans="1:20" x14ac:dyDescent="0.25">
      <c r="A65" s="64" t="s">
        <v>652</v>
      </c>
      <c r="B65" s="58"/>
      <c r="C65" s="58"/>
      <c r="D65" s="58"/>
      <c r="E65" s="29">
        <v>940.89999699999998</v>
      </c>
      <c r="F65" s="30" t="s">
        <v>612</v>
      </c>
      <c r="G65" s="30" t="s">
        <v>612</v>
      </c>
      <c r="H65" s="29">
        <v>806.84999900000003</v>
      </c>
      <c r="I65" s="31">
        <v>54.349997999999999</v>
      </c>
      <c r="J65" s="31">
        <v>0</v>
      </c>
      <c r="K65" s="31">
        <v>0</v>
      </c>
      <c r="L65" s="32">
        <v>861.19999700000005</v>
      </c>
      <c r="M65" s="29">
        <v>43</v>
      </c>
      <c r="N65" s="31">
        <v>24</v>
      </c>
      <c r="O65" s="31">
        <v>0</v>
      </c>
      <c r="P65" s="31">
        <v>12.7</v>
      </c>
      <c r="Q65" s="31">
        <v>79.7</v>
      </c>
      <c r="R65" s="65">
        <v>940.89999699999998</v>
      </c>
      <c r="S65" s="58"/>
      <c r="T65" s="61"/>
    </row>
    <row r="66" spans="1:20" x14ac:dyDescent="0.25">
      <c r="A66" s="64" t="s">
        <v>653</v>
      </c>
      <c r="B66" s="58"/>
      <c r="C66" s="58"/>
      <c r="D66" s="58"/>
      <c r="E66" s="29">
        <v>47.05</v>
      </c>
      <c r="F66" s="30" t="s">
        <v>612</v>
      </c>
      <c r="G66" s="30" t="s">
        <v>612</v>
      </c>
      <c r="H66" s="29">
        <v>0</v>
      </c>
      <c r="I66" s="31">
        <v>0</v>
      </c>
      <c r="J66" s="31">
        <v>0</v>
      </c>
      <c r="K66" s="31">
        <v>0</v>
      </c>
      <c r="L66" s="32">
        <v>0</v>
      </c>
      <c r="M66" s="29">
        <v>0</v>
      </c>
      <c r="N66" s="31">
        <v>0</v>
      </c>
      <c r="O66" s="31">
        <v>0</v>
      </c>
      <c r="P66" s="31">
        <v>47.05</v>
      </c>
      <c r="Q66" s="31">
        <v>47.05</v>
      </c>
      <c r="R66" s="65">
        <v>47.05</v>
      </c>
      <c r="S66" s="58"/>
      <c r="T66" s="61"/>
    </row>
    <row r="67" spans="1:20" x14ac:dyDescent="0.25">
      <c r="A67" s="64" t="s">
        <v>654</v>
      </c>
      <c r="B67" s="58"/>
      <c r="C67" s="58"/>
      <c r="D67" s="58"/>
      <c r="E67" s="29">
        <v>115.366666</v>
      </c>
      <c r="F67" s="30" t="s">
        <v>612</v>
      </c>
      <c r="G67" s="30" t="s">
        <v>612</v>
      </c>
      <c r="H67" s="29">
        <v>65.733333000000002</v>
      </c>
      <c r="I67" s="31">
        <v>49.633333</v>
      </c>
      <c r="J67" s="31">
        <v>0</v>
      </c>
      <c r="K67" s="31">
        <v>0</v>
      </c>
      <c r="L67" s="32">
        <v>115.366666</v>
      </c>
      <c r="M67" s="29">
        <v>0</v>
      </c>
      <c r="N67" s="31">
        <v>0</v>
      </c>
      <c r="O67" s="31">
        <v>0</v>
      </c>
      <c r="P67" s="31">
        <v>0</v>
      </c>
      <c r="Q67" s="31">
        <v>0</v>
      </c>
      <c r="R67" s="65">
        <v>115.366666</v>
      </c>
      <c r="S67" s="58"/>
      <c r="T67" s="61"/>
    </row>
    <row r="68" spans="1:20" x14ac:dyDescent="0.25">
      <c r="A68" s="64" t="s">
        <v>655</v>
      </c>
      <c r="B68" s="58"/>
      <c r="C68" s="58"/>
      <c r="D68" s="58"/>
      <c r="E68" s="29">
        <v>716.23333600000001</v>
      </c>
      <c r="F68" s="30" t="s">
        <v>612</v>
      </c>
      <c r="G68" s="30" t="s">
        <v>612</v>
      </c>
      <c r="H68" s="29">
        <v>681.23333600000001</v>
      </c>
      <c r="I68" s="31">
        <v>0</v>
      </c>
      <c r="J68" s="31">
        <v>0</v>
      </c>
      <c r="K68" s="31">
        <v>0</v>
      </c>
      <c r="L68" s="32">
        <v>681.23333600000001</v>
      </c>
      <c r="M68" s="29">
        <v>0</v>
      </c>
      <c r="N68" s="31">
        <v>24</v>
      </c>
      <c r="O68" s="31">
        <v>11</v>
      </c>
      <c r="P68" s="31">
        <v>0</v>
      </c>
      <c r="Q68" s="31">
        <v>35</v>
      </c>
      <c r="R68" s="65">
        <v>716.23333600000001</v>
      </c>
      <c r="S68" s="58"/>
      <c r="T68" s="61"/>
    </row>
    <row r="69" spans="1:20" x14ac:dyDescent="0.25">
      <c r="A69" s="64" t="s">
        <v>656</v>
      </c>
      <c r="B69" s="58"/>
      <c r="C69" s="58"/>
      <c r="D69" s="58"/>
      <c r="E69" s="29">
        <v>835.15</v>
      </c>
      <c r="F69" s="30" t="s">
        <v>612</v>
      </c>
      <c r="G69" s="30" t="s">
        <v>612</v>
      </c>
      <c r="H69" s="29">
        <v>774.05</v>
      </c>
      <c r="I69" s="31">
        <v>5.6</v>
      </c>
      <c r="J69" s="31">
        <v>0</v>
      </c>
      <c r="K69" s="31">
        <v>0</v>
      </c>
      <c r="L69" s="32">
        <v>779.65</v>
      </c>
      <c r="M69" s="29">
        <v>24</v>
      </c>
      <c r="N69" s="31">
        <v>24</v>
      </c>
      <c r="O69" s="31">
        <v>7.5</v>
      </c>
      <c r="P69" s="31">
        <v>0</v>
      </c>
      <c r="Q69" s="31">
        <v>55.5</v>
      </c>
      <c r="R69" s="65">
        <v>835.15</v>
      </c>
      <c r="S69" s="58"/>
      <c r="T69" s="61"/>
    </row>
    <row r="70" spans="1:20" x14ac:dyDescent="0.25">
      <c r="A70" s="64" t="s">
        <v>657</v>
      </c>
      <c r="B70" s="58"/>
      <c r="C70" s="58"/>
      <c r="D70" s="58"/>
      <c r="E70" s="29">
        <v>762.21666600000003</v>
      </c>
      <c r="F70" s="30" t="s">
        <v>612</v>
      </c>
      <c r="G70" s="30" t="s">
        <v>612</v>
      </c>
      <c r="H70" s="29">
        <v>668.01666599999999</v>
      </c>
      <c r="I70" s="31">
        <v>30.95</v>
      </c>
      <c r="J70" s="31">
        <v>0</v>
      </c>
      <c r="K70" s="31">
        <v>0</v>
      </c>
      <c r="L70" s="32">
        <v>698.96666600000003</v>
      </c>
      <c r="M70" s="29">
        <v>42.25</v>
      </c>
      <c r="N70" s="31">
        <v>16</v>
      </c>
      <c r="O70" s="31">
        <v>5</v>
      </c>
      <c r="P70" s="31">
        <v>0</v>
      </c>
      <c r="Q70" s="31">
        <v>63.25</v>
      </c>
      <c r="R70" s="65">
        <v>762.21666600000003</v>
      </c>
      <c r="S70" s="58"/>
      <c r="T70" s="61"/>
    </row>
    <row r="71" spans="1:20" x14ac:dyDescent="0.25">
      <c r="A71" s="64" t="s">
        <v>658</v>
      </c>
      <c r="B71" s="58"/>
      <c r="C71" s="58"/>
      <c r="D71" s="58"/>
      <c r="E71" s="29">
        <v>11.75</v>
      </c>
      <c r="F71" s="30" t="s">
        <v>612</v>
      </c>
      <c r="G71" s="30" t="s">
        <v>612</v>
      </c>
      <c r="H71" s="29">
        <v>3.75</v>
      </c>
      <c r="I71" s="31">
        <v>0</v>
      </c>
      <c r="J71" s="31">
        <v>0</v>
      </c>
      <c r="K71" s="31">
        <v>0</v>
      </c>
      <c r="L71" s="32">
        <v>3.75</v>
      </c>
      <c r="M71" s="29">
        <v>0</v>
      </c>
      <c r="N71" s="31">
        <v>0</v>
      </c>
      <c r="O71" s="31">
        <v>8</v>
      </c>
      <c r="P71" s="31">
        <v>0</v>
      </c>
      <c r="Q71" s="31">
        <v>8</v>
      </c>
      <c r="R71" s="65">
        <v>11.75</v>
      </c>
      <c r="S71" s="58"/>
      <c r="T71" s="61"/>
    </row>
    <row r="72" spans="1:20" x14ac:dyDescent="0.25">
      <c r="A72" s="64" t="s">
        <v>659</v>
      </c>
      <c r="B72" s="58"/>
      <c r="C72" s="58"/>
      <c r="D72" s="58"/>
      <c r="E72" s="29">
        <v>823.33333500000003</v>
      </c>
      <c r="F72" s="30" t="s">
        <v>612</v>
      </c>
      <c r="G72" s="30" t="s">
        <v>612</v>
      </c>
      <c r="H72" s="29">
        <v>752.88333499999999</v>
      </c>
      <c r="I72" s="31">
        <v>13.883333</v>
      </c>
      <c r="J72" s="31">
        <v>0</v>
      </c>
      <c r="K72" s="31">
        <v>0</v>
      </c>
      <c r="L72" s="32">
        <v>766.76666799999998</v>
      </c>
      <c r="M72" s="29">
        <v>30.566666999999999</v>
      </c>
      <c r="N72" s="31">
        <v>24</v>
      </c>
      <c r="O72" s="31">
        <v>2</v>
      </c>
      <c r="P72" s="31">
        <v>0</v>
      </c>
      <c r="Q72" s="31">
        <v>56.566667000000002</v>
      </c>
      <c r="R72" s="65">
        <v>823.33333500000003</v>
      </c>
      <c r="S72" s="58"/>
      <c r="T72" s="61"/>
    </row>
    <row r="73" spans="1:20" x14ac:dyDescent="0.25">
      <c r="A73" s="62" t="s">
        <v>634</v>
      </c>
      <c r="B73" s="58"/>
      <c r="C73" s="58"/>
      <c r="D73" s="58"/>
      <c r="E73" s="23" t="s">
        <v>612</v>
      </c>
      <c r="F73" s="24" t="s">
        <v>612</v>
      </c>
      <c r="G73" s="24" t="s">
        <v>612</v>
      </c>
      <c r="H73" s="23" t="s">
        <v>612</v>
      </c>
      <c r="I73" s="24" t="s">
        <v>612</v>
      </c>
      <c r="J73" s="24" t="s">
        <v>612</v>
      </c>
      <c r="K73" s="24" t="s">
        <v>612</v>
      </c>
      <c r="L73" s="25" t="s">
        <v>612</v>
      </c>
      <c r="M73" s="26" t="s">
        <v>612</v>
      </c>
      <c r="N73" s="27" t="s">
        <v>612</v>
      </c>
      <c r="O73" s="27" t="s">
        <v>612</v>
      </c>
      <c r="P73" s="27" t="s">
        <v>612</v>
      </c>
      <c r="Q73" s="28" t="s">
        <v>612</v>
      </c>
      <c r="R73" s="63" t="s">
        <v>612</v>
      </c>
      <c r="S73" s="58"/>
      <c r="T73" s="61"/>
    </row>
    <row r="74" spans="1:20" x14ac:dyDescent="0.25">
      <c r="A74" s="64" t="s">
        <v>660</v>
      </c>
      <c r="B74" s="58"/>
      <c r="C74" s="58"/>
      <c r="D74" s="58"/>
      <c r="E74" s="29">
        <v>14.933332999999999</v>
      </c>
      <c r="F74" s="30" t="s">
        <v>612</v>
      </c>
      <c r="G74" s="30" t="s">
        <v>612</v>
      </c>
      <c r="H74" s="29">
        <v>14.933332999999999</v>
      </c>
      <c r="I74" s="31">
        <v>0</v>
      </c>
      <c r="J74" s="31">
        <v>0</v>
      </c>
      <c r="K74" s="31">
        <v>0</v>
      </c>
      <c r="L74" s="32">
        <v>14.933332999999999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65">
        <v>14.933332999999999</v>
      </c>
      <c r="S74" s="58"/>
      <c r="T74" s="61"/>
    </row>
    <row r="75" spans="1:20" x14ac:dyDescent="0.25">
      <c r="A75" s="64" t="s">
        <v>661</v>
      </c>
      <c r="B75" s="58"/>
      <c r="C75" s="58"/>
      <c r="D75" s="58"/>
      <c r="E75" s="29">
        <v>0</v>
      </c>
      <c r="F75" s="30" t="s">
        <v>612</v>
      </c>
      <c r="G75" s="30" t="s">
        <v>612</v>
      </c>
      <c r="H75" s="29">
        <v>0</v>
      </c>
      <c r="I75" s="31">
        <v>0</v>
      </c>
      <c r="J75" s="31">
        <v>0</v>
      </c>
      <c r="K75" s="31">
        <v>0</v>
      </c>
      <c r="L75" s="32">
        <v>0</v>
      </c>
      <c r="M75" s="29">
        <v>0</v>
      </c>
      <c r="N75" s="31">
        <v>0</v>
      </c>
      <c r="O75" s="31">
        <v>0</v>
      </c>
      <c r="P75" s="31">
        <v>0</v>
      </c>
      <c r="Q75" s="31">
        <v>0</v>
      </c>
      <c r="R75" s="65">
        <v>0</v>
      </c>
      <c r="S75" s="58"/>
      <c r="T75" s="61"/>
    </row>
    <row r="76" spans="1:20" x14ac:dyDescent="0.25">
      <c r="A76" s="64" t="s">
        <v>662</v>
      </c>
      <c r="B76" s="58"/>
      <c r="C76" s="58"/>
      <c r="D76" s="58"/>
      <c r="E76" s="29">
        <v>68.766666999999998</v>
      </c>
      <c r="F76" s="30" t="s">
        <v>612</v>
      </c>
      <c r="G76" s="30" t="s">
        <v>612</v>
      </c>
      <c r="H76" s="29">
        <v>68.766666999999998</v>
      </c>
      <c r="I76" s="31">
        <v>0</v>
      </c>
      <c r="J76" s="31">
        <v>0</v>
      </c>
      <c r="K76" s="31">
        <v>0</v>
      </c>
      <c r="L76" s="32">
        <v>68.766666999999998</v>
      </c>
      <c r="M76" s="29">
        <v>0</v>
      </c>
      <c r="N76" s="31">
        <v>0</v>
      </c>
      <c r="O76" s="31">
        <v>0</v>
      </c>
      <c r="P76" s="31">
        <v>0</v>
      </c>
      <c r="Q76" s="31">
        <v>0</v>
      </c>
      <c r="R76" s="65">
        <v>68.766666999999998</v>
      </c>
      <c r="S76" s="58"/>
      <c r="T76" s="61"/>
    </row>
    <row r="77" spans="1:20" x14ac:dyDescent="0.25">
      <c r="A77" s="64" t="s">
        <v>663</v>
      </c>
      <c r="B77" s="58"/>
      <c r="C77" s="58"/>
      <c r="D77" s="58"/>
      <c r="E77" s="29">
        <v>23.183333999999999</v>
      </c>
      <c r="F77" s="30" t="s">
        <v>612</v>
      </c>
      <c r="G77" s="30" t="s">
        <v>612</v>
      </c>
      <c r="H77" s="29">
        <v>23.183333999999999</v>
      </c>
      <c r="I77" s="31">
        <v>0</v>
      </c>
      <c r="J77" s="31">
        <v>0</v>
      </c>
      <c r="K77" s="31">
        <v>0</v>
      </c>
      <c r="L77" s="32">
        <v>23.183333999999999</v>
      </c>
      <c r="M77" s="29">
        <v>0</v>
      </c>
      <c r="N77" s="31">
        <v>0</v>
      </c>
      <c r="O77" s="31">
        <v>0</v>
      </c>
      <c r="P77" s="31">
        <v>0</v>
      </c>
      <c r="Q77" s="31">
        <v>0</v>
      </c>
      <c r="R77" s="65">
        <v>23.183333999999999</v>
      </c>
      <c r="S77" s="58"/>
      <c r="T77" s="61"/>
    </row>
    <row r="78" spans="1:20" x14ac:dyDescent="0.25">
      <c r="A78" s="64" t="s">
        <v>664</v>
      </c>
      <c r="B78" s="58"/>
      <c r="C78" s="58"/>
      <c r="D78" s="58"/>
      <c r="E78" s="29">
        <v>16.05</v>
      </c>
      <c r="F78" s="30" t="s">
        <v>612</v>
      </c>
      <c r="G78" s="30" t="s">
        <v>612</v>
      </c>
      <c r="H78" s="29">
        <v>16.05</v>
      </c>
      <c r="I78" s="31">
        <v>0</v>
      </c>
      <c r="J78" s="31">
        <v>0</v>
      </c>
      <c r="K78" s="31">
        <v>0</v>
      </c>
      <c r="L78" s="32">
        <v>16.05</v>
      </c>
      <c r="M78" s="29">
        <v>0</v>
      </c>
      <c r="N78" s="31">
        <v>0</v>
      </c>
      <c r="O78" s="31">
        <v>0</v>
      </c>
      <c r="P78" s="31">
        <v>0</v>
      </c>
      <c r="Q78" s="31">
        <v>0</v>
      </c>
      <c r="R78" s="65">
        <v>16.05</v>
      </c>
      <c r="S78" s="58"/>
      <c r="T78" s="61"/>
    </row>
    <row r="79" spans="1:20" x14ac:dyDescent="0.25">
      <c r="A79" s="64" t="s">
        <v>665</v>
      </c>
      <c r="B79" s="58"/>
      <c r="C79" s="58"/>
      <c r="D79" s="58"/>
      <c r="E79" s="29">
        <v>6.8833330000000004</v>
      </c>
      <c r="F79" s="30" t="s">
        <v>612</v>
      </c>
      <c r="G79" s="30" t="s">
        <v>612</v>
      </c>
      <c r="H79" s="29">
        <v>6.8833330000000004</v>
      </c>
      <c r="I79" s="31">
        <v>0</v>
      </c>
      <c r="J79" s="31">
        <v>0</v>
      </c>
      <c r="K79" s="31">
        <v>0</v>
      </c>
      <c r="L79" s="32">
        <v>6.8833330000000004</v>
      </c>
      <c r="M79" s="29">
        <v>0</v>
      </c>
      <c r="N79" s="31">
        <v>0</v>
      </c>
      <c r="O79" s="31">
        <v>0</v>
      </c>
      <c r="P79" s="31">
        <v>0</v>
      </c>
      <c r="Q79" s="31">
        <v>0</v>
      </c>
      <c r="R79" s="65">
        <v>6.8833330000000004</v>
      </c>
      <c r="S79" s="58"/>
      <c r="T79" s="61"/>
    </row>
    <row r="80" spans="1:20" x14ac:dyDescent="0.25">
      <c r="A80" s="64" t="s">
        <v>666</v>
      </c>
      <c r="B80" s="58"/>
      <c r="C80" s="58"/>
      <c r="D80" s="58"/>
      <c r="E80" s="29">
        <v>20.950001</v>
      </c>
      <c r="F80" s="30" t="s">
        <v>612</v>
      </c>
      <c r="G80" s="30" t="s">
        <v>612</v>
      </c>
      <c r="H80" s="29">
        <v>20.950001</v>
      </c>
      <c r="I80" s="31">
        <v>0</v>
      </c>
      <c r="J80" s="31">
        <v>0</v>
      </c>
      <c r="K80" s="31">
        <v>0</v>
      </c>
      <c r="L80" s="32">
        <v>20.950001</v>
      </c>
      <c r="M80" s="29">
        <v>0</v>
      </c>
      <c r="N80" s="31">
        <v>0</v>
      </c>
      <c r="O80" s="31">
        <v>0</v>
      </c>
      <c r="P80" s="31">
        <v>0</v>
      </c>
      <c r="Q80" s="31">
        <v>0</v>
      </c>
      <c r="R80" s="65">
        <v>20.950001</v>
      </c>
      <c r="S80" s="58"/>
      <c r="T80" s="61"/>
    </row>
    <row r="81" spans="1:20" x14ac:dyDescent="0.25">
      <c r="A81" s="64" t="s">
        <v>667</v>
      </c>
      <c r="B81" s="58"/>
      <c r="C81" s="58"/>
      <c r="D81" s="58"/>
      <c r="E81" s="29">
        <v>96.666666000000006</v>
      </c>
      <c r="F81" s="30" t="s">
        <v>612</v>
      </c>
      <c r="G81" s="30" t="s">
        <v>612</v>
      </c>
      <c r="H81" s="29">
        <v>83.666666000000006</v>
      </c>
      <c r="I81" s="31">
        <v>0</v>
      </c>
      <c r="J81" s="31">
        <v>0</v>
      </c>
      <c r="K81" s="31">
        <v>0</v>
      </c>
      <c r="L81" s="32">
        <v>83.666666000000006</v>
      </c>
      <c r="M81" s="29">
        <v>0</v>
      </c>
      <c r="N81" s="31">
        <v>0</v>
      </c>
      <c r="O81" s="31">
        <v>13</v>
      </c>
      <c r="P81" s="31">
        <v>0</v>
      </c>
      <c r="Q81" s="31">
        <v>13</v>
      </c>
      <c r="R81" s="65">
        <v>96.666666000000006</v>
      </c>
      <c r="S81" s="58"/>
      <c r="T81" s="61"/>
    </row>
    <row r="82" spans="1:20" x14ac:dyDescent="0.25">
      <c r="A82" s="64" t="s">
        <v>668</v>
      </c>
      <c r="B82" s="58"/>
      <c r="C82" s="58"/>
      <c r="D82" s="58"/>
      <c r="E82" s="29">
        <v>140.566666</v>
      </c>
      <c r="F82" s="30" t="s">
        <v>612</v>
      </c>
      <c r="G82" s="30" t="s">
        <v>612</v>
      </c>
      <c r="H82" s="29">
        <v>68.3</v>
      </c>
      <c r="I82" s="31">
        <v>0</v>
      </c>
      <c r="J82" s="31">
        <v>0</v>
      </c>
      <c r="K82" s="31">
        <v>0</v>
      </c>
      <c r="L82" s="32">
        <v>68.3</v>
      </c>
      <c r="M82" s="29">
        <v>0</v>
      </c>
      <c r="N82" s="31">
        <v>0</v>
      </c>
      <c r="O82" s="31">
        <v>72.266666000000001</v>
      </c>
      <c r="P82" s="31">
        <v>0</v>
      </c>
      <c r="Q82" s="31">
        <v>72.266666000000001</v>
      </c>
      <c r="R82" s="65">
        <v>140.566666</v>
      </c>
      <c r="S82" s="58"/>
      <c r="T82" s="61"/>
    </row>
    <row r="83" spans="1:20" x14ac:dyDescent="0.25">
      <c r="A83" s="64" t="s">
        <v>659</v>
      </c>
      <c r="B83" s="58"/>
      <c r="C83" s="58"/>
      <c r="D83" s="58"/>
      <c r="E83" s="29">
        <v>0</v>
      </c>
      <c r="F83" s="30" t="s">
        <v>612</v>
      </c>
      <c r="G83" s="30" t="s">
        <v>612</v>
      </c>
      <c r="H83" s="29">
        <v>0</v>
      </c>
      <c r="I83" s="31">
        <v>0</v>
      </c>
      <c r="J83" s="31">
        <v>0</v>
      </c>
      <c r="K83" s="31">
        <v>0</v>
      </c>
      <c r="L83" s="32">
        <v>0</v>
      </c>
      <c r="M83" s="29">
        <v>0</v>
      </c>
      <c r="N83" s="31">
        <v>0</v>
      </c>
      <c r="O83" s="31">
        <v>0</v>
      </c>
      <c r="P83" s="31">
        <v>0</v>
      </c>
      <c r="Q83" s="31">
        <v>0</v>
      </c>
      <c r="R83" s="65">
        <v>0</v>
      </c>
      <c r="S83" s="58"/>
      <c r="T83" s="61"/>
    </row>
    <row r="84" spans="1:20" x14ac:dyDescent="0.25">
      <c r="A84" s="70" t="s">
        <v>669</v>
      </c>
      <c r="B84" s="58"/>
      <c r="C84" s="58"/>
      <c r="D84" s="58"/>
      <c r="E84" s="33">
        <v>12008.650011</v>
      </c>
      <c r="F84" s="34">
        <v>10584</v>
      </c>
      <c r="G84" s="34">
        <v>1424.6500109999999</v>
      </c>
      <c r="H84" s="33">
        <v>10754.750015</v>
      </c>
      <c r="I84" s="35">
        <v>201.56666300000001</v>
      </c>
      <c r="J84" s="35">
        <v>0</v>
      </c>
      <c r="K84" s="35">
        <v>0</v>
      </c>
      <c r="L84" s="36">
        <v>10956.316677999999</v>
      </c>
      <c r="M84" s="33">
        <v>387.316667</v>
      </c>
      <c r="N84" s="37">
        <v>368</v>
      </c>
      <c r="O84" s="35">
        <v>189.76666599999999</v>
      </c>
      <c r="P84" s="35">
        <v>107.25</v>
      </c>
      <c r="Q84" s="35">
        <v>1052.333333</v>
      </c>
      <c r="R84" s="71">
        <v>12008.650011</v>
      </c>
      <c r="S84" s="58"/>
      <c r="T84" s="61"/>
    </row>
    <row r="85" spans="1:20" x14ac:dyDescent="0.25">
      <c r="A85" s="59" t="s">
        <v>670</v>
      </c>
      <c r="B85" s="58"/>
      <c r="C85" s="58"/>
      <c r="D85" s="58"/>
      <c r="E85" s="20" t="s">
        <v>612</v>
      </c>
      <c r="F85" s="21" t="s">
        <v>612</v>
      </c>
      <c r="G85" s="21" t="s">
        <v>612</v>
      </c>
      <c r="H85" s="20" t="s">
        <v>612</v>
      </c>
      <c r="I85" s="21" t="s">
        <v>612</v>
      </c>
      <c r="J85" s="21" t="s">
        <v>612</v>
      </c>
      <c r="K85" s="21" t="s">
        <v>612</v>
      </c>
      <c r="L85" s="22" t="s">
        <v>612</v>
      </c>
      <c r="M85" s="20" t="s">
        <v>612</v>
      </c>
      <c r="N85" s="21" t="s">
        <v>612</v>
      </c>
      <c r="O85" s="21" t="s">
        <v>612</v>
      </c>
      <c r="P85" s="21" t="s">
        <v>612</v>
      </c>
      <c r="Q85" s="22" t="s">
        <v>612</v>
      </c>
      <c r="R85" s="60" t="s">
        <v>612</v>
      </c>
      <c r="S85" s="58"/>
      <c r="T85" s="61"/>
    </row>
    <row r="86" spans="1:20" x14ac:dyDescent="0.25">
      <c r="A86" s="62" t="s">
        <v>671</v>
      </c>
      <c r="B86" s="58"/>
      <c r="C86" s="58"/>
      <c r="D86" s="58"/>
      <c r="E86" s="23" t="s">
        <v>612</v>
      </c>
      <c r="F86" s="24" t="s">
        <v>612</v>
      </c>
      <c r="G86" s="24" t="s">
        <v>612</v>
      </c>
      <c r="H86" s="23" t="s">
        <v>612</v>
      </c>
      <c r="I86" s="24" t="s">
        <v>612</v>
      </c>
      <c r="J86" s="24" t="s">
        <v>612</v>
      </c>
      <c r="K86" s="24" t="s">
        <v>612</v>
      </c>
      <c r="L86" s="25" t="s">
        <v>612</v>
      </c>
      <c r="M86" s="26" t="s">
        <v>612</v>
      </c>
      <c r="N86" s="27" t="s">
        <v>612</v>
      </c>
      <c r="O86" s="27" t="s">
        <v>612</v>
      </c>
      <c r="P86" s="27" t="s">
        <v>612</v>
      </c>
      <c r="Q86" s="28" t="s">
        <v>612</v>
      </c>
      <c r="R86" s="63" t="s">
        <v>612</v>
      </c>
      <c r="S86" s="58"/>
      <c r="T86" s="61"/>
    </row>
    <row r="87" spans="1:20" x14ac:dyDescent="0.25">
      <c r="A87" s="64" t="s">
        <v>672</v>
      </c>
      <c r="B87" s="58"/>
      <c r="C87" s="58"/>
      <c r="D87" s="58"/>
      <c r="E87" s="29">
        <v>6</v>
      </c>
      <c r="F87" s="30" t="s">
        <v>612</v>
      </c>
      <c r="G87" s="30" t="s">
        <v>612</v>
      </c>
      <c r="H87" s="29">
        <v>6</v>
      </c>
      <c r="I87" s="31">
        <v>0</v>
      </c>
      <c r="J87" s="31">
        <v>0</v>
      </c>
      <c r="K87" s="31">
        <v>0</v>
      </c>
      <c r="L87" s="32">
        <v>6</v>
      </c>
      <c r="M87" s="29">
        <v>0</v>
      </c>
      <c r="N87" s="31">
        <v>0</v>
      </c>
      <c r="O87" s="31">
        <v>0</v>
      </c>
      <c r="P87" s="31">
        <v>0</v>
      </c>
      <c r="Q87" s="31">
        <v>0</v>
      </c>
      <c r="R87" s="65">
        <v>6</v>
      </c>
      <c r="S87" s="58"/>
      <c r="T87" s="61"/>
    </row>
    <row r="88" spans="1:20" x14ac:dyDescent="0.25">
      <c r="A88" s="64" t="s">
        <v>673</v>
      </c>
      <c r="B88" s="58"/>
      <c r="C88" s="58"/>
      <c r="D88" s="58"/>
      <c r="E88" s="29">
        <v>0</v>
      </c>
      <c r="F88" s="30" t="s">
        <v>612</v>
      </c>
      <c r="G88" s="30" t="s">
        <v>612</v>
      </c>
      <c r="H88" s="29">
        <v>0</v>
      </c>
      <c r="I88" s="31">
        <v>0</v>
      </c>
      <c r="J88" s="31">
        <v>0</v>
      </c>
      <c r="K88" s="31">
        <v>0</v>
      </c>
      <c r="L88" s="32">
        <v>0</v>
      </c>
      <c r="M88" s="29">
        <v>0</v>
      </c>
      <c r="N88" s="31">
        <v>0</v>
      </c>
      <c r="O88" s="31">
        <v>0</v>
      </c>
      <c r="P88" s="31">
        <v>0</v>
      </c>
      <c r="Q88" s="31">
        <v>0</v>
      </c>
      <c r="R88" s="65">
        <v>0</v>
      </c>
      <c r="S88" s="58"/>
      <c r="T88" s="61"/>
    </row>
    <row r="89" spans="1:20" x14ac:dyDescent="0.25">
      <c r="A89" s="62" t="s">
        <v>674</v>
      </c>
      <c r="B89" s="58"/>
      <c r="C89" s="58"/>
      <c r="D89" s="58"/>
      <c r="E89" s="23" t="s">
        <v>612</v>
      </c>
      <c r="F89" s="24" t="s">
        <v>612</v>
      </c>
      <c r="G89" s="24" t="s">
        <v>612</v>
      </c>
      <c r="H89" s="23" t="s">
        <v>612</v>
      </c>
      <c r="I89" s="24" t="s">
        <v>612</v>
      </c>
      <c r="J89" s="24" t="s">
        <v>612</v>
      </c>
      <c r="K89" s="24" t="s">
        <v>612</v>
      </c>
      <c r="L89" s="25" t="s">
        <v>612</v>
      </c>
      <c r="M89" s="26" t="s">
        <v>612</v>
      </c>
      <c r="N89" s="27" t="s">
        <v>612</v>
      </c>
      <c r="O89" s="27" t="s">
        <v>612</v>
      </c>
      <c r="P89" s="27" t="s">
        <v>612</v>
      </c>
      <c r="Q89" s="28" t="s">
        <v>612</v>
      </c>
      <c r="R89" s="63" t="s">
        <v>612</v>
      </c>
      <c r="S89" s="58"/>
      <c r="T89" s="61"/>
    </row>
    <row r="90" spans="1:20" x14ac:dyDescent="0.25">
      <c r="A90" s="64" t="s">
        <v>675</v>
      </c>
      <c r="B90" s="58"/>
      <c r="C90" s="58"/>
      <c r="D90" s="58"/>
      <c r="E90" s="29">
        <v>136.716667</v>
      </c>
      <c r="F90" s="30" t="s">
        <v>612</v>
      </c>
      <c r="G90" s="30" t="s">
        <v>612</v>
      </c>
      <c r="H90" s="29">
        <v>125.516667</v>
      </c>
      <c r="I90" s="31">
        <v>0</v>
      </c>
      <c r="J90" s="31">
        <v>0</v>
      </c>
      <c r="K90" s="31">
        <v>0</v>
      </c>
      <c r="L90" s="32">
        <v>125.516667</v>
      </c>
      <c r="M90" s="29">
        <v>0</v>
      </c>
      <c r="N90" s="31">
        <v>0</v>
      </c>
      <c r="O90" s="31">
        <v>11.2</v>
      </c>
      <c r="P90" s="31">
        <v>0</v>
      </c>
      <c r="Q90" s="31">
        <v>11.2</v>
      </c>
      <c r="R90" s="65">
        <v>136.716667</v>
      </c>
      <c r="S90" s="58"/>
      <c r="T90" s="61"/>
    </row>
    <row r="91" spans="1:20" x14ac:dyDescent="0.25">
      <c r="A91" s="64" t="s">
        <v>676</v>
      </c>
      <c r="B91" s="58"/>
      <c r="C91" s="58"/>
      <c r="D91" s="58"/>
      <c r="E91" s="29">
        <v>12.266667</v>
      </c>
      <c r="F91" s="30" t="s">
        <v>612</v>
      </c>
      <c r="G91" s="30" t="s">
        <v>612</v>
      </c>
      <c r="H91" s="29">
        <v>9</v>
      </c>
      <c r="I91" s="31">
        <v>0</v>
      </c>
      <c r="J91" s="31">
        <v>0</v>
      </c>
      <c r="K91" s="31">
        <v>0</v>
      </c>
      <c r="L91" s="32">
        <v>9</v>
      </c>
      <c r="M91" s="29">
        <v>0</v>
      </c>
      <c r="N91" s="31">
        <v>0</v>
      </c>
      <c r="O91" s="31">
        <v>3.266667</v>
      </c>
      <c r="P91" s="31">
        <v>0</v>
      </c>
      <c r="Q91" s="31">
        <v>3.266667</v>
      </c>
      <c r="R91" s="65">
        <v>12.266667</v>
      </c>
      <c r="S91" s="58"/>
      <c r="T91" s="61"/>
    </row>
    <row r="92" spans="1:20" x14ac:dyDescent="0.25">
      <c r="A92" s="62" t="s">
        <v>634</v>
      </c>
      <c r="B92" s="58"/>
      <c r="C92" s="58"/>
      <c r="D92" s="58"/>
      <c r="E92" s="23" t="s">
        <v>612</v>
      </c>
      <c r="F92" s="24" t="s">
        <v>612</v>
      </c>
      <c r="G92" s="24" t="s">
        <v>612</v>
      </c>
      <c r="H92" s="23" t="s">
        <v>612</v>
      </c>
      <c r="I92" s="24" t="s">
        <v>612</v>
      </c>
      <c r="J92" s="24" t="s">
        <v>612</v>
      </c>
      <c r="K92" s="24" t="s">
        <v>612</v>
      </c>
      <c r="L92" s="25" t="s">
        <v>612</v>
      </c>
      <c r="M92" s="26" t="s">
        <v>612</v>
      </c>
      <c r="N92" s="27" t="s">
        <v>612</v>
      </c>
      <c r="O92" s="27" t="s">
        <v>612</v>
      </c>
      <c r="P92" s="27" t="s">
        <v>612</v>
      </c>
      <c r="Q92" s="28" t="s">
        <v>612</v>
      </c>
      <c r="R92" s="63" t="s">
        <v>612</v>
      </c>
      <c r="S92" s="58"/>
      <c r="T92" s="61"/>
    </row>
    <row r="93" spans="1:20" x14ac:dyDescent="0.25">
      <c r="A93" s="64" t="s">
        <v>677</v>
      </c>
      <c r="B93" s="58"/>
      <c r="C93" s="58"/>
      <c r="D93" s="58"/>
      <c r="E93" s="29">
        <v>46.266668000000003</v>
      </c>
      <c r="F93" s="30" t="s">
        <v>612</v>
      </c>
      <c r="G93" s="30" t="s">
        <v>612</v>
      </c>
      <c r="H93" s="29">
        <v>7.4166670000000003</v>
      </c>
      <c r="I93" s="31">
        <v>0</v>
      </c>
      <c r="J93" s="31">
        <v>0</v>
      </c>
      <c r="K93" s="31">
        <v>0</v>
      </c>
      <c r="L93" s="32">
        <v>7.4166670000000003</v>
      </c>
      <c r="M93" s="29">
        <v>0</v>
      </c>
      <c r="N93" s="31">
        <v>0</v>
      </c>
      <c r="O93" s="31">
        <v>38.850000999999999</v>
      </c>
      <c r="P93" s="31">
        <v>0</v>
      </c>
      <c r="Q93" s="31">
        <v>38.850000999999999</v>
      </c>
      <c r="R93" s="65">
        <v>46.266668000000003</v>
      </c>
      <c r="S93" s="58"/>
      <c r="T93" s="61"/>
    </row>
    <row r="94" spans="1:20" x14ac:dyDescent="0.25">
      <c r="A94" s="64" t="s">
        <v>673</v>
      </c>
      <c r="B94" s="58"/>
      <c r="C94" s="58"/>
      <c r="D94" s="58"/>
      <c r="E94" s="29">
        <v>0</v>
      </c>
      <c r="F94" s="30" t="s">
        <v>612</v>
      </c>
      <c r="G94" s="30" t="s">
        <v>612</v>
      </c>
      <c r="H94" s="29">
        <v>0</v>
      </c>
      <c r="I94" s="31">
        <v>0</v>
      </c>
      <c r="J94" s="31">
        <v>0</v>
      </c>
      <c r="K94" s="31">
        <v>0</v>
      </c>
      <c r="L94" s="32">
        <v>0</v>
      </c>
      <c r="M94" s="29">
        <v>0</v>
      </c>
      <c r="N94" s="31">
        <v>0</v>
      </c>
      <c r="O94" s="31">
        <v>0</v>
      </c>
      <c r="P94" s="31">
        <v>0</v>
      </c>
      <c r="Q94" s="31">
        <v>0</v>
      </c>
      <c r="R94" s="65">
        <v>0</v>
      </c>
      <c r="S94" s="58"/>
      <c r="T94" s="61"/>
    </row>
    <row r="95" spans="1:20" x14ac:dyDescent="0.25">
      <c r="A95" s="70" t="s">
        <v>678</v>
      </c>
      <c r="B95" s="58"/>
      <c r="C95" s="58"/>
      <c r="D95" s="58"/>
      <c r="E95" s="33">
        <v>201.25000199999999</v>
      </c>
      <c r="F95" s="34">
        <v>210</v>
      </c>
      <c r="G95" s="34">
        <v>-8.7499980000000104</v>
      </c>
      <c r="H95" s="33">
        <v>147.933334</v>
      </c>
      <c r="I95" s="35">
        <v>0</v>
      </c>
      <c r="J95" s="35">
        <v>0</v>
      </c>
      <c r="K95" s="35">
        <v>0</v>
      </c>
      <c r="L95" s="36">
        <v>147.933334</v>
      </c>
      <c r="M95" s="33">
        <v>0</v>
      </c>
      <c r="N95" s="37">
        <v>0</v>
      </c>
      <c r="O95" s="35">
        <v>53.316668</v>
      </c>
      <c r="P95" s="35">
        <v>0</v>
      </c>
      <c r="Q95" s="35">
        <v>53.316668</v>
      </c>
      <c r="R95" s="71">
        <v>201.25000199999999</v>
      </c>
      <c r="S95" s="58"/>
      <c r="T95" s="61"/>
    </row>
    <row r="96" spans="1:20" x14ac:dyDescent="0.25">
      <c r="A96" s="59" t="s">
        <v>679</v>
      </c>
      <c r="B96" s="58"/>
      <c r="C96" s="58"/>
      <c r="D96" s="58"/>
      <c r="E96" s="20" t="s">
        <v>612</v>
      </c>
      <c r="F96" s="21" t="s">
        <v>612</v>
      </c>
      <c r="G96" s="21" t="s">
        <v>612</v>
      </c>
      <c r="H96" s="20" t="s">
        <v>612</v>
      </c>
      <c r="I96" s="21" t="s">
        <v>612</v>
      </c>
      <c r="J96" s="21" t="s">
        <v>612</v>
      </c>
      <c r="K96" s="21" t="s">
        <v>612</v>
      </c>
      <c r="L96" s="22" t="s">
        <v>612</v>
      </c>
      <c r="M96" s="20" t="s">
        <v>612</v>
      </c>
      <c r="N96" s="21" t="s">
        <v>612</v>
      </c>
      <c r="O96" s="21" t="s">
        <v>612</v>
      </c>
      <c r="P96" s="21" t="s">
        <v>612</v>
      </c>
      <c r="Q96" s="22" t="s">
        <v>612</v>
      </c>
      <c r="R96" s="60" t="s">
        <v>612</v>
      </c>
      <c r="S96" s="58"/>
      <c r="T96" s="61"/>
    </row>
    <row r="97" spans="1:20" x14ac:dyDescent="0.25">
      <c r="A97" s="62" t="s">
        <v>613</v>
      </c>
      <c r="B97" s="58"/>
      <c r="C97" s="58"/>
      <c r="D97" s="58"/>
      <c r="E97" s="23" t="s">
        <v>612</v>
      </c>
      <c r="F97" s="24" t="s">
        <v>612</v>
      </c>
      <c r="G97" s="24" t="s">
        <v>612</v>
      </c>
      <c r="H97" s="23" t="s">
        <v>612</v>
      </c>
      <c r="I97" s="24" t="s">
        <v>612</v>
      </c>
      <c r="J97" s="24" t="s">
        <v>612</v>
      </c>
      <c r="K97" s="24" t="s">
        <v>612</v>
      </c>
      <c r="L97" s="25" t="s">
        <v>612</v>
      </c>
      <c r="M97" s="26" t="s">
        <v>612</v>
      </c>
      <c r="N97" s="27" t="s">
        <v>612</v>
      </c>
      <c r="O97" s="27" t="s">
        <v>612</v>
      </c>
      <c r="P97" s="27" t="s">
        <v>612</v>
      </c>
      <c r="Q97" s="28" t="s">
        <v>612</v>
      </c>
      <c r="R97" s="63" t="s">
        <v>612</v>
      </c>
      <c r="S97" s="58"/>
      <c r="T97" s="61"/>
    </row>
    <row r="98" spans="1:20" x14ac:dyDescent="0.25">
      <c r="A98" s="64" t="s">
        <v>680</v>
      </c>
      <c r="B98" s="58"/>
      <c r="C98" s="58"/>
      <c r="D98" s="58"/>
      <c r="E98" s="29">
        <v>822.19999900000005</v>
      </c>
      <c r="F98" s="30" t="s">
        <v>612</v>
      </c>
      <c r="G98" s="30" t="s">
        <v>612</v>
      </c>
      <c r="H98" s="29">
        <v>734.19999900000005</v>
      </c>
      <c r="I98" s="31">
        <v>0</v>
      </c>
      <c r="J98" s="31">
        <v>0</v>
      </c>
      <c r="K98" s="31">
        <v>0</v>
      </c>
      <c r="L98" s="32">
        <v>734.19999900000005</v>
      </c>
      <c r="M98" s="29">
        <v>64</v>
      </c>
      <c r="N98" s="31">
        <v>24</v>
      </c>
      <c r="O98" s="31">
        <v>0</v>
      </c>
      <c r="P98" s="31">
        <v>0</v>
      </c>
      <c r="Q98" s="31">
        <v>88</v>
      </c>
      <c r="R98" s="65">
        <v>822.19999900000005</v>
      </c>
      <c r="S98" s="58"/>
      <c r="T98" s="61"/>
    </row>
    <row r="99" spans="1:20" x14ac:dyDescent="0.25">
      <c r="A99" s="62" t="s">
        <v>674</v>
      </c>
      <c r="B99" s="58"/>
      <c r="C99" s="58"/>
      <c r="D99" s="58"/>
      <c r="E99" s="23" t="s">
        <v>612</v>
      </c>
      <c r="F99" s="24" t="s">
        <v>612</v>
      </c>
      <c r="G99" s="24" t="s">
        <v>612</v>
      </c>
      <c r="H99" s="23" t="s">
        <v>612</v>
      </c>
      <c r="I99" s="24" t="s">
        <v>612</v>
      </c>
      <c r="J99" s="24" t="s">
        <v>612</v>
      </c>
      <c r="K99" s="24" t="s">
        <v>612</v>
      </c>
      <c r="L99" s="25" t="s">
        <v>612</v>
      </c>
      <c r="M99" s="26" t="s">
        <v>612</v>
      </c>
      <c r="N99" s="27" t="s">
        <v>612</v>
      </c>
      <c r="O99" s="27" t="s">
        <v>612</v>
      </c>
      <c r="P99" s="27" t="s">
        <v>612</v>
      </c>
      <c r="Q99" s="28" t="s">
        <v>612</v>
      </c>
      <c r="R99" s="63" t="s">
        <v>612</v>
      </c>
      <c r="S99" s="58"/>
      <c r="T99" s="61"/>
    </row>
    <row r="100" spans="1:20" x14ac:dyDescent="0.25">
      <c r="A100" s="64" t="s">
        <v>681</v>
      </c>
      <c r="B100" s="58"/>
      <c r="C100" s="58"/>
      <c r="D100" s="58"/>
      <c r="E100" s="29">
        <v>6.5833329999999997</v>
      </c>
      <c r="F100" s="30" t="s">
        <v>612</v>
      </c>
      <c r="G100" s="30" t="s">
        <v>612</v>
      </c>
      <c r="H100" s="29">
        <v>6.5833329999999997</v>
      </c>
      <c r="I100" s="31">
        <v>0</v>
      </c>
      <c r="J100" s="31">
        <v>0</v>
      </c>
      <c r="K100" s="31">
        <v>0</v>
      </c>
      <c r="L100" s="32">
        <v>6.5833329999999997</v>
      </c>
      <c r="M100" s="29">
        <v>0</v>
      </c>
      <c r="N100" s="31">
        <v>0</v>
      </c>
      <c r="O100" s="31">
        <v>0</v>
      </c>
      <c r="P100" s="31">
        <v>0</v>
      </c>
      <c r="Q100" s="31">
        <v>0</v>
      </c>
      <c r="R100" s="65">
        <v>6.5833329999999997</v>
      </c>
      <c r="S100" s="58"/>
      <c r="T100" s="61"/>
    </row>
    <row r="101" spans="1:20" x14ac:dyDescent="0.25">
      <c r="A101" s="64" t="s">
        <v>682</v>
      </c>
      <c r="B101" s="58"/>
      <c r="C101" s="58"/>
      <c r="D101" s="58"/>
      <c r="E101" s="29">
        <v>35.916665000000002</v>
      </c>
      <c r="F101" s="30" t="s">
        <v>612</v>
      </c>
      <c r="G101" s="30" t="s">
        <v>612</v>
      </c>
      <c r="H101" s="29">
        <v>0</v>
      </c>
      <c r="I101" s="31">
        <v>0</v>
      </c>
      <c r="J101" s="31">
        <v>0</v>
      </c>
      <c r="K101" s="31">
        <v>0</v>
      </c>
      <c r="L101" s="32">
        <v>0</v>
      </c>
      <c r="M101" s="29">
        <v>0</v>
      </c>
      <c r="N101" s="31">
        <v>0</v>
      </c>
      <c r="O101" s="31">
        <v>35.916665000000002</v>
      </c>
      <c r="P101" s="31">
        <v>0</v>
      </c>
      <c r="Q101" s="31">
        <v>35.916665000000002</v>
      </c>
      <c r="R101" s="65">
        <v>35.916665000000002</v>
      </c>
      <c r="S101" s="58"/>
      <c r="T101" s="61"/>
    </row>
    <row r="102" spans="1:20" x14ac:dyDescent="0.25">
      <c r="A102" s="62" t="s">
        <v>634</v>
      </c>
      <c r="B102" s="58"/>
      <c r="C102" s="58"/>
      <c r="D102" s="58"/>
      <c r="E102" s="23" t="s">
        <v>612</v>
      </c>
      <c r="F102" s="24" t="s">
        <v>612</v>
      </c>
      <c r="G102" s="24" t="s">
        <v>612</v>
      </c>
      <c r="H102" s="23" t="s">
        <v>612</v>
      </c>
      <c r="I102" s="24" t="s">
        <v>612</v>
      </c>
      <c r="J102" s="24" t="s">
        <v>612</v>
      </c>
      <c r="K102" s="24" t="s">
        <v>612</v>
      </c>
      <c r="L102" s="25" t="s">
        <v>612</v>
      </c>
      <c r="M102" s="26" t="s">
        <v>612</v>
      </c>
      <c r="N102" s="27" t="s">
        <v>612</v>
      </c>
      <c r="O102" s="27" t="s">
        <v>612</v>
      </c>
      <c r="P102" s="27" t="s">
        <v>612</v>
      </c>
      <c r="Q102" s="28" t="s">
        <v>612</v>
      </c>
      <c r="R102" s="63" t="s">
        <v>612</v>
      </c>
      <c r="S102" s="58"/>
      <c r="T102" s="61"/>
    </row>
    <row r="103" spans="1:20" x14ac:dyDescent="0.25">
      <c r="A103" s="64" t="s">
        <v>683</v>
      </c>
      <c r="B103" s="58"/>
      <c r="C103" s="58"/>
      <c r="D103" s="58"/>
      <c r="E103" s="29">
        <v>233.716666</v>
      </c>
      <c r="F103" s="30" t="s">
        <v>612</v>
      </c>
      <c r="G103" s="30" t="s">
        <v>612</v>
      </c>
      <c r="H103" s="29">
        <v>219.933333</v>
      </c>
      <c r="I103" s="31">
        <v>13.283333000000001</v>
      </c>
      <c r="J103" s="31">
        <v>0</v>
      </c>
      <c r="K103" s="31">
        <v>0</v>
      </c>
      <c r="L103" s="32">
        <v>233.216666</v>
      </c>
      <c r="M103" s="29">
        <v>0</v>
      </c>
      <c r="N103" s="31">
        <v>0</v>
      </c>
      <c r="O103" s="31">
        <v>0.5</v>
      </c>
      <c r="P103" s="31">
        <v>0</v>
      </c>
      <c r="Q103" s="31">
        <v>0.5</v>
      </c>
      <c r="R103" s="65">
        <v>233.716666</v>
      </c>
      <c r="S103" s="58"/>
      <c r="T103" s="61"/>
    </row>
    <row r="104" spans="1:20" x14ac:dyDescent="0.25">
      <c r="A104" s="64" t="s">
        <v>680</v>
      </c>
      <c r="B104" s="58"/>
      <c r="C104" s="58"/>
      <c r="D104" s="58"/>
      <c r="E104" s="29">
        <v>0</v>
      </c>
      <c r="F104" s="30" t="s">
        <v>612</v>
      </c>
      <c r="G104" s="30" t="s">
        <v>612</v>
      </c>
      <c r="H104" s="29">
        <v>0</v>
      </c>
      <c r="I104" s="31">
        <v>0</v>
      </c>
      <c r="J104" s="31">
        <v>0</v>
      </c>
      <c r="K104" s="31">
        <v>0</v>
      </c>
      <c r="L104" s="32">
        <v>0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65">
        <v>0</v>
      </c>
      <c r="S104" s="58"/>
      <c r="T104" s="61"/>
    </row>
    <row r="105" spans="1:20" x14ac:dyDescent="0.25">
      <c r="A105" s="70" t="s">
        <v>684</v>
      </c>
      <c r="B105" s="58"/>
      <c r="C105" s="58"/>
      <c r="D105" s="58"/>
      <c r="E105" s="33">
        <v>1098.416663</v>
      </c>
      <c r="F105" s="34">
        <v>1176</v>
      </c>
      <c r="G105" s="34">
        <v>-77.583337</v>
      </c>
      <c r="H105" s="33">
        <v>960.71666500000003</v>
      </c>
      <c r="I105" s="35">
        <v>13.283333000000001</v>
      </c>
      <c r="J105" s="35">
        <v>0</v>
      </c>
      <c r="K105" s="35">
        <v>0</v>
      </c>
      <c r="L105" s="36">
        <v>973.99999800000001</v>
      </c>
      <c r="M105" s="33">
        <v>64</v>
      </c>
      <c r="N105" s="37">
        <v>24</v>
      </c>
      <c r="O105" s="35">
        <v>36.416665000000002</v>
      </c>
      <c r="P105" s="35">
        <v>0</v>
      </c>
      <c r="Q105" s="35">
        <v>124.41666499999999</v>
      </c>
      <c r="R105" s="71">
        <v>1098.416663</v>
      </c>
      <c r="S105" s="58"/>
      <c r="T105" s="61"/>
    </row>
    <row r="106" spans="1:20" x14ac:dyDescent="0.25">
      <c r="A106" s="59" t="s">
        <v>685</v>
      </c>
      <c r="B106" s="58"/>
      <c r="C106" s="58"/>
      <c r="D106" s="58"/>
      <c r="E106" s="20" t="s">
        <v>612</v>
      </c>
      <c r="F106" s="21" t="s">
        <v>612</v>
      </c>
      <c r="G106" s="21" t="s">
        <v>612</v>
      </c>
      <c r="H106" s="20" t="s">
        <v>612</v>
      </c>
      <c r="I106" s="21" t="s">
        <v>612</v>
      </c>
      <c r="J106" s="21" t="s">
        <v>612</v>
      </c>
      <c r="K106" s="21" t="s">
        <v>612</v>
      </c>
      <c r="L106" s="22" t="s">
        <v>612</v>
      </c>
      <c r="M106" s="20" t="s">
        <v>612</v>
      </c>
      <c r="N106" s="21" t="s">
        <v>612</v>
      </c>
      <c r="O106" s="21" t="s">
        <v>612</v>
      </c>
      <c r="P106" s="21" t="s">
        <v>612</v>
      </c>
      <c r="Q106" s="22" t="s">
        <v>612</v>
      </c>
      <c r="R106" s="60" t="s">
        <v>612</v>
      </c>
      <c r="S106" s="58"/>
      <c r="T106" s="61"/>
    </row>
    <row r="107" spans="1:20" x14ac:dyDescent="0.25">
      <c r="A107" s="62" t="s">
        <v>674</v>
      </c>
      <c r="B107" s="58"/>
      <c r="C107" s="58"/>
      <c r="D107" s="58"/>
      <c r="E107" s="23" t="s">
        <v>612</v>
      </c>
      <c r="F107" s="24" t="s">
        <v>612</v>
      </c>
      <c r="G107" s="24" t="s">
        <v>612</v>
      </c>
      <c r="H107" s="23" t="s">
        <v>612</v>
      </c>
      <c r="I107" s="24" t="s">
        <v>612</v>
      </c>
      <c r="J107" s="24" t="s">
        <v>612</v>
      </c>
      <c r="K107" s="24" t="s">
        <v>612</v>
      </c>
      <c r="L107" s="25" t="s">
        <v>612</v>
      </c>
      <c r="M107" s="26" t="s">
        <v>612</v>
      </c>
      <c r="N107" s="27" t="s">
        <v>612</v>
      </c>
      <c r="O107" s="27" t="s">
        <v>612</v>
      </c>
      <c r="P107" s="27" t="s">
        <v>612</v>
      </c>
      <c r="Q107" s="28" t="s">
        <v>612</v>
      </c>
      <c r="R107" s="63" t="s">
        <v>612</v>
      </c>
      <c r="S107" s="58"/>
      <c r="T107" s="61"/>
    </row>
    <row r="108" spans="1:20" x14ac:dyDescent="0.25">
      <c r="A108" s="64" t="s">
        <v>682</v>
      </c>
      <c r="B108" s="58"/>
      <c r="C108" s="58"/>
      <c r="D108" s="58"/>
      <c r="E108" s="29">
        <v>42.25</v>
      </c>
      <c r="F108" s="30" t="s">
        <v>612</v>
      </c>
      <c r="G108" s="30" t="s">
        <v>612</v>
      </c>
      <c r="H108" s="29">
        <v>11.7</v>
      </c>
      <c r="I108" s="31">
        <v>0</v>
      </c>
      <c r="J108" s="31">
        <v>0</v>
      </c>
      <c r="K108" s="31">
        <v>0</v>
      </c>
      <c r="L108" s="32">
        <v>11.7</v>
      </c>
      <c r="M108" s="29">
        <v>0</v>
      </c>
      <c r="N108" s="31">
        <v>0</v>
      </c>
      <c r="O108" s="31">
        <v>30.55</v>
      </c>
      <c r="P108" s="31">
        <v>0</v>
      </c>
      <c r="Q108" s="31">
        <v>30.55</v>
      </c>
      <c r="R108" s="65">
        <v>42.25</v>
      </c>
      <c r="S108" s="58"/>
      <c r="T108" s="61"/>
    </row>
    <row r="109" spans="1:20" x14ac:dyDescent="0.25">
      <c r="A109" s="70" t="s">
        <v>686</v>
      </c>
      <c r="B109" s="58"/>
      <c r="C109" s="58"/>
      <c r="D109" s="58"/>
      <c r="E109" s="33">
        <v>42.25</v>
      </c>
      <c r="F109" s="34">
        <v>0</v>
      </c>
      <c r="G109" s="34">
        <v>42.25</v>
      </c>
      <c r="H109" s="33">
        <v>11.7</v>
      </c>
      <c r="I109" s="35">
        <v>0</v>
      </c>
      <c r="J109" s="35">
        <v>0</v>
      </c>
      <c r="K109" s="35">
        <v>0</v>
      </c>
      <c r="L109" s="36">
        <v>11.7</v>
      </c>
      <c r="M109" s="33">
        <v>0</v>
      </c>
      <c r="N109" s="37">
        <v>0</v>
      </c>
      <c r="O109" s="35">
        <v>30.55</v>
      </c>
      <c r="P109" s="35">
        <v>0</v>
      </c>
      <c r="Q109" s="35">
        <v>30.55</v>
      </c>
      <c r="R109" s="71">
        <v>42.25</v>
      </c>
      <c r="S109" s="58"/>
      <c r="T109" s="61"/>
    </row>
    <row r="110" spans="1:20" x14ac:dyDescent="0.25">
      <c r="A110" s="59" t="s">
        <v>687</v>
      </c>
      <c r="B110" s="58"/>
      <c r="C110" s="58"/>
      <c r="D110" s="58"/>
      <c r="E110" s="20" t="s">
        <v>612</v>
      </c>
      <c r="F110" s="21" t="s">
        <v>612</v>
      </c>
      <c r="G110" s="21" t="s">
        <v>612</v>
      </c>
      <c r="H110" s="20" t="s">
        <v>612</v>
      </c>
      <c r="I110" s="21" t="s">
        <v>612</v>
      </c>
      <c r="J110" s="21" t="s">
        <v>612</v>
      </c>
      <c r="K110" s="21" t="s">
        <v>612</v>
      </c>
      <c r="L110" s="22" t="s">
        <v>612</v>
      </c>
      <c r="M110" s="20" t="s">
        <v>612</v>
      </c>
      <c r="N110" s="21" t="s">
        <v>612</v>
      </c>
      <c r="O110" s="21" t="s">
        <v>612</v>
      </c>
      <c r="P110" s="21" t="s">
        <v>612</v>
      </c>
      <c r="Q110" s="22" t="s">
        <v>612</v>
      </c>
      <c r="R110" s="60" t="s">
        <v>612</v>
      </c>
      <c r="S110" s="58"/>
      <c r="T110" s="61"/>
    </row>
    <row r="111" spans="1:20" x14ac:dyDescent="0.25">
      <c r="A111" s="62" t="s">
        <v>613</v>
      </c>
      <c r="B111" s="58"/>
      <c r="C111" s="58"/>
      <c r="D111" s="58"/>
      <c r="E111" s="23" t="s">
        <v>612</v>
      </c>
      <c r="F111" s="24" t="s">
        <v>612</v>
      </c>
      <c r="G111" s="24" t="s">
        <v>612</v>
      </c>
      <c r="H111" s="23" t="s">
        <v>612</v>
      </c>
      <c r="I111" s="24" t="s">
        <v>612</v>
      </c>
      <c r="J111" s="24" t="s">
        <v>612</v>
      </c>
      <c r="K111" s="24" t="s">
        <v>612</v>
      </c>
      <c r="L111" s="25" t="s">
        <v>612</v>
      </c>
      <c r="M111" s="26" t="s">
        <v>612</v>
      </c>
      <c r="N111" s="27" t="s">
        <v>612</v>
      </c>
      <c r="O111" s="27" t="s">
        <v>612</v>
      </c>
      <c r="P111" s="27" t="s">
        <v>612</v>
      </c>
      <c r="Q111" s="28" t="s">
        <v>612</v>
      </c>
      <c r="R111" s="63" t="s">
        <v>612</v>
      </c>
      <c r="S111" s="58"/>
      <c r="T111" s="61"/>
    </row>
    <row r="112" spans="1:20" x14ac:dyDescent="0.25">
      <c r="A112" s="64" t="s">
        <v>688</v>
      </c>
      <c r="B112" s="58"/>
      <c r="C112" s="58"/>
      <c r="D112" s="58"/>
      <c r="E112" s="29">
        <v>784.31667300000004</v>
      </c>
      <c r="F112" s="30" t="s">
        <v>612</v>
      </c>
      <c r="G112" s="30" t="s">
        <v>612</v>
      </c>
      <c r="H112" s="29">
        <v>738.86667299999999</v>
      </c>
      <c r="I112" s="31">
        <v>8.4499999999999993</v>
      </c>
      <c r="J112" s="31">
        <v>0</v>
      </c>
      <c r="K112" s="31">
        <v>0</v>
      </c>
      <c r="L112" s="32">
        <v>747.31667300000004</v>
      </c>
      <c r="M112" s="29">
        <v>12</v>
      </c>
      <c r="N112" s="31">
        <v>24</v>
      </c>
      <c r="O112" s="31">
        <v>1</v>
      </c>
      <c r="P112" s="31">
        <v>0</v>
      </c>
      <c r="Q112" s="31">
        <v>37</v>
      </c>
      <c r="R112" s="65">
        <v>784.31667300000004</v>
      </c>
      <c r="S112" s="58"/>
      <c r="T112" s="61"/>
    </row>
    <row r="113" spans="1:20" x14ac:dyDescent="0.25">
      <c r="A113" s="64" t="s">
        <v>689</v>
      </c>
      <c r="B113" s="58"/>
      <c r="C113" s="58"/>
      <c r="D113" s="58"/>
      <c r="E113" s="29">
        <v>804.36667</v>
      </c>
      <c r="F113" s="30" t="s">
        <v>612</v>
      </c>
      <c r="G113" s="30" t="s">
        <v>612</v>
      </c>
      <c r="H113" s="29">
        <v>752.36667</v>
      </c>
      <c r="I113" s="31">
        <v>0</v>
      </c>
      <c r="J113" s="31">
        <v>0</v>
      </c>
      <c r="K113" s="31">
        <v>0</v>
      </c>
      <c r="L113" s="32">
        <v>752.36667</v>
      </c>
      <c r="M113" s="29">
        <v>24</v>
      </c>
      <c r="N113" s="31">
        <v>24</v>
      </c>
      <c r="O113" s="31">
        <v>4</v>
      </c>
      <c r="P113" s="31">
        <v>0</v>
      </c>
      <c r="Q113" s="31">
        <v>52</v>
      </c>
      <c r="R113" s="65">
        <v>804.36667</v>
      </c>
      <c r="S113" s="58"/>
      <c r="T113" s="61"/>
    </row>
    <row r="114" spans="1:20" x14ac:dyDescent="0.25">
      <c r="A114" s="64" t="s">
        <v>641</v>
      </c>
      <c r="B114" s="58"/>
      <c r="C114" s="58"/>
      <c r="D114" s="58"/>
      <c r="E114" s="29">
        <v>685</v>
      </c>
      <c r="F114" s="30" t="s">
        <v>612</v>
      </c>
      <c r="G114" s="30" t="s">
        <v>612</v>
      </c>
      <c r="H114" s="29">
        <v>685</v>
      </c>
      <c r="I114" s="31">
        <v>0</v>
      </c>
      <c r="J114" s="31">
        <v>0</v>
      </c>
      <c r="K114" s="31">
        <v>0</v>
      </c>
      <c r="L114" s="32">
        <v>685</v>
      </c>
      <c r="M114" s="29">
        <v>0</v>
      </c>
      <c r="N114" s="31">
        <v>0</v>
      </c>
      <c r="O114" s="31">
        <v>0</v>
      </c>
      <c r="P114" s="31">
        <v>0</v>
      </c>
      <c r="Q114" s="31">
        <v>0</v>
      </c>
      <c r="R114" s="65">
        <v>685</v>
      </c>
      <c r="S114" s="58"/>
      <c r="T114" s="61"/>
    </row>
    <row r="115" spans="1:20" x14ac:dyDescent="0.25">
      <c r="A115" s="64" t="s">
        <v>690</v>
      </c>
      <c r="B115" s="58"/>
      <c r="C115" s="58"/>
      <c r="D115" s="58"/>
      <c r="E115" s="29">
        <v>76.833332999999996</v>
      </c>
      <c r="F115" s="30" t="s">
        <v>612</v>
      </c>
      <c r="G115" s="30" t="s">
        <v>612</v>
      </c>
      <c r="H115" s="29">
        <v>28</v>
      </c>
      <c r="I115" s="31">
        <v>24.833333</v>
      </c>
      <c r="J115" s="31">
        <v>0</v>
      </c>
      <c r="K115" s="31">
        <v>0</v>
      </c>
      <c r="L115" s="32">
        <v>52.833333000000003</v>
      </c>
      <c r="M115" s="29">
        <v>0</v>
      </c>
      <c r="N115" s="31">
        <v>0</v>
      </c>
      <c r="O115" s="31">
        <v>0</v>
      </c>
      <c r="P115" s="31">
        <v>24</v>
      </c>
      <c r="Q115" s="31">
        <v>24</v>
      </c>
      <c r="R115" s="65">
        <v>76.833332999999996</v>
      </c>
      <c r="S115" s="58"/>
      <c r="T115" s="61"/>
    </row>
    <row r="116" spans="1:20" x14ac:dyDescent="0.25">
      <c r="A116" s="64" t="s">
        <v>691</v>
      </c>
      <c r="B116" s="58"/>
      <c r="C116" s="58"/>
      <c r="D116" s="58"/>
      <c r="E116" s="29">
        <v>811.69999800000005</v>
      </c>
      <c r="F116" s="30" t="s">
        <v>612</v>
      </c>
      <c r="G116" s="30" t="s">
        <v>612</v>
      </c>
      <c r="H116" s="29">
        <v>763.09999800000003</v>
      </c>
      <c r="I116" s="31">
        <v>0</v>
      </c>
      <c r="J116" s="31">
        <v>0</v>
      </c>
      <c r="K116" s="31">
        <v>0</v>
      </c>
      <c r="L116" s="32">
        <v>763.09999800000003</v>
      </c>
      <c r="M116" s="29">
        <v>23.1</v>
      </c>
      <c r="N116" s="31">
        <v>24</v>
      </c>
      <c r="O116" s="31">
        <v>1.5</v>
      </c>
      <c r="P116" s="31">
        <v>0</v>
      </c>
      <c r="Q116" s="31">
        <v>48.6</v>
      </c>
      <c r="R116" s="65">
        <v>811.69999800000005</v>
      </c>
      <c r="S116" s="58"/>
      <c r="T116" s="61"/>
    </row>
    <row r="117" spans="1:20" x14ac:dyDescent="0.25">
      <c r="A117" s="64" t="s">
        <v>692</v>
      </c>
      <c r="B117" s="58"/>
      <c r="C117" s="58"/>
      <c r="D117" s="58"/>
      <c r="E117" s="29">
        <v>750.70000100000004</v>
      </c>
      <c r="F117" s="30" t="s">
        <v>612</v>
      </c>
      <c r="G117" s="30" t="s">
        <v>612</v>
      </c>
      <c r="H117" s="29">
        <v>685.500001</v>
      </c>
      <c r="I117" s="31">
        <v>0</v>
      </c>
      <c r="J117" s="31">
        <v>0</v>
      </c>
      <c r="K117" s="31">
        <v>0</v>
      </c>
      <c r="L117" s="32">
        <v>685.500001</v>
      </c>
      <c r="M117" s="29">
        <v>30.2</v>
      </c>
      <c r="N117" s="31">
        <v>24</v>
      </c>
      <c r="O117" s="31">
        <v>11</v>
      </c>
      <c r="P117" s="31">
        <v>0</v>
      </c>
      <c r="Q117" s="31">
        <v>65.2</v>
      </c>
      <c r="R117" s="65">
        <v>750.70000100000004</v>
      </c>
      <c r="S117" s="58"/>
      <c r="T117" s="61"/>
    </row>
    <row r="118" spans="1:20" x14ac:dyDescent="0.25">
      <c r="A118" s="64" t="s">
        <v>693</v>
      </c>
      <c r="B118" s="58"/>
      <c r="C118" s="58"/>
      <c r="D118" s="58"/>
      <c r="E118" s="29">
        <v>29.75</v>
      </c>
      <c r="F118" s="30" t="s">
        <v>612</v>
      </c>
      <c r="G118" s="30" t="s">
        <v>612</v>
      </c>
      <c r="H118" s="29">
        <v>29.75</v>
      </c>
      <c r="I118" s="31">
        <v>0</v>
      </c>
      <c r="J118" s="31">
        <v>0</v>
      </c>
      <c r="K118" s="31">
        <v>0</v>
      </c>
      <c r="L118" s="32">
        <v>29.75</v>
      </c>
      <c r="M118" s="29">
        <v>0</v>
      </c>
      <c r="N118" s="31">
        <v>0</v>
      </c>
      <c r="O118" s="31">
        <v>0</v>
      </c>
      <c r="P118" s="31">
        <v>0</v>
      </c>
      <c r="Q118" s="31">
        <v>0</v>
      </c>
      <c r="R118" s="65">
        <v>29.75</v>
      </c>
      <c r="S118" s="58"/>
      <c r="T118" s="61"/>
    </row>
    <row r="119" spans="1:20" x14ac:dyDescent="0.25">
      <c r="A119" s="64" t="s">
        <v>644</v>
      </c>
      <c r="B119" s="58"/>
      <c r="C119" s="58"/>
      <c r="D119" s="58"/>
      <c r="E119" s="29">
        <v>80.099998999999997</v>
      </c>
      <c r="F119" s="30" t="s">
        <v>612</v>
      </c>
      <c r="G119" s="30" t="s">
        <v>612</v>
      </c>
      <c r="H119" s="29">
        <v>65.133332999999993</v>
      </c>
      <c r="I119" s="31">
        <v>11.466666</v>
      </c>
      <c r="J119" s="31">
        <v>0</v>
      </c>
      <c r="K119" s="31">
        <v>0</v>
      </c>
      <c r="L119" s="32">
        <v>76.599998999999997</v>
      </c>
      <c r="M119" s="29">
        <v>0</v>
      </c>
      <c r="N119" s="31">
        <v>0</v>
      </c>
      <c r="O119" s="31">
        <v>0</v>
      </c>
      <c r="P119" s="31">
        <v>3.5</v>
      </c>
      <c r="Q119" s="31">
        <v>3.5</v>
      </c>
      <c r="R119" s="65">
        <v>80.099998999999997</v>
      </c>
      <c r="S119" s="58"/>
      <c r="T119" s="61"/>
    </row>
    <row r="120" spans="1:20" x14ac:dyDescent="0.25">
      <c r="A120" s="64" t="s">
        <v>645</v>
      </c>
      <c r="B120" s="58"/>
      <c r="C120" s="58"/>
      <c r="D120" s="58"/>
      <c r="E120" s="29">
        <v>5.95</v>
      </c>
      <c r="F120" s="30" t="s">
        <v>612</v>
      </c>
      <c r="G120" s="30" t="s">
        <v>612</v>
      </c>
      <c r="H120" s="29">
        <v>5.95</v>
      </c>
      <c r="I120" s="31">
        <v>0</v>
      </c>
      <c r="J120" s="31">
        <v>0</v>
      </c>
      <c r="K120" s="31">
        <v>0</v>
      </c>
      <c r="L120" s="32">
        <v>5.95</v>
      </c>
      <c r="M120" s="29">
        <v>0</v>
      </c>
      <c r="N120" s="31">
        <v>0</v>
      </c>
      <c r="O120" s="31">
        <v>0</v>
      </c>
      <c r="P120" s="31">
        <v>0</v>
      </c>
      <c r="Q120" s="31">
        <v>0</v>
      </c>
      <c r="R120" s="65">
        <v>5.95</v>
      </c>
      <c r="S120" s="58"/>
      <c r="T120" s="61"/>
    </row>
    <row r="121" spans="1:20" x14ac:dyDescent="0.25">
      <c r="A121" s="64" t="s">
        <v>647</v>
      </c>
      <c r="B121" s="58"/>
      <c r="C121" s="58"/>
      <c r="D121" s="58"/>
      <c r="E121" s="29">
        <v>47.1</v>
      </c>
      <c r="F121" s="30" t="s">
        <v>612</v>
      </c>
      <c r="G121" s="30" t="s">
        <v>612</v>
      </c>
      <c r="H121" s="29">
        <v>47.1</v>
      </c>
      <c r="I121" s="31">
        <v>0</v>
      </c>
      <c r="J121" s="31">
        <v>0</v>
      </c>
      <c r="K121" s="31">
        <v>0</v>
      </c>
      <c r="L121" s="32">
        <v>47.1</v>
      </c>
      <c r="M121" s="29">
        <v>0</v>
      </c>
      <c r="N121" s="31">
        <v>0</v>
      </c>
      <c r="O121" s="31">
        <v>0</v>
      </c>
      <c r="P121" s="31">
        <v>0</v>
      </c>
      <c r="Q121" s="31">
        <v>0</v>
      </c>
      <c r="R121" s="65">
        <v>47.1</v>
      </c>
      <c r="S121" s="58"/>
      <c r="T121" s="61"/>
    </row>
    <row r="122" spans="1:20" x14ac:dyDescent="0.25">
      <c r="A122" s="64" t="s">
        <v>648</v>
      </c>
      <c r="B122" s="58"/>
      <c r="C122" s="58"/>
      <c r="D122" s="58"/>
      <c r="E122" s="29">
        <v>24.999998999999999</v>
      </c>
      <c r="F122" s="30" t="s">
        <v>612</v>
      </c>
      <c r="G122" s="30" t="s">
        <v>612</v>
      </c>
      <c r="H122" s="29">
        <v>24.999998999999999</v>
      </c>
      <c r="I122" s="31">
        <v>0</v>
      </c>
      <c r="J122" s="31">
        <v>0</v>
      </c>
      <c r="K122" s="31">
        <v>0</v>
      </c>
      <c r="L122" s="32">
        <v>24.999998999999999</v>
      </c>
      <c r="M122" s="29">
        <v>0</v>
      </c>
      <c r="N122" s="31">
        <v>0</v>
      </c>
      <c r="O122" s="31">
        <v>0</v>
      </c>
      <c r="P122" s="31">
        <v>0</v>
      </c>
      <c r="Q122" s="31">
        <v>0</v>
      </c>
      <c r="R122" s="65">
        <v>24.999998999999999</v>
      </c>
      <c r="S122" s="58"/>
      <c r="T122" s="61"/>
    </row>
    <row r="123" spans="1:20" x14ac:dyDescent="0.25">
      <c r="A123" s="64" t="s">
        <v>694</v>
      </c>
      <c r="B123" s="58"/>
      <c r="C123" s="58"/>
      <c r="D123" s="58"/>
      <c r="E123" s="29">
        <v>69.400000000000006</v>
      </c>
      <c r="F123" s="30" t="s">
        <v>612</v>
      </c>
      <c r="G123" s="30" t="s">
        <v>612</v>
      </c>
      <c r="H123" s="29">
        <v>48.4</v>
      </c>
      <c r="I123" s="31">
        <v>0</v>
      </c>
      <c r="J123" s="31">
        <v>0</v>
      </c>
      <c r="K123" s="31">
        <v>0</v>
      </c>
      <c r="L123" s="32">
        <v>48.4</v>
      </c>
      <c r="M123" s="29">
        <v>0</v>
      </c>
      <c r="N123" s="31">
        <v>0</v>
      </c>
      <c r="O123" s="31">
        <v>0</v>
      </c>
      <c r="P123" s="31">
        <v>21</v>
      </c>
      <c r="Q123" s="31">
        <v>21</v>
      </c>
      <c r="R123" s="65">
        <v>69.400000000000006</v>
      </c>
      <c r="S123" s="58"/>
      <c r="T123" s="61"/>
    </row>
    <row r="124" spans="1:20" x14ac:dyDescent="0.25">
      <c r="A124" s="64" t="s">
        <v>695</v>
      </c>
      <c r="B124" s="58"/>
      <c r="C124" s="58"/>
      <c r="D124" s="58"/>
      <c r="E124" s="29">
        <v>668.39999799999998</v>
      </c>
      <c r="F124" s="30" t="s">
        <v>612</v>
      </c>
      <c r="G124" s="30" t="s">
        <v>612</v>
      </c>
      <c r="H124" s="29">
        <v>607.39999799999998</v>
      </c>
      <c r="I124" s="31">
        <v>0</v>
      </c>
      <c r="J124" s="31">
        <v>0</v>
      </c>
      <c r="K124" s="31">
        <v>0</v>
      </c>
      <c r="L124" s="32">
        <v>607.39999799999998</v>
      </c>
      <c r="M124" s="29">
        <v>36</v>
      </c>
      <c r="N124" s="31">
        <v>16</v>
      </c>
      <c r="O124" s="31">
        <v>9</v>
      </c>
      <c r="P124" s="31">
        <v>0</v>
      </c>
      <c r="Q124" s="31">
        <v>61</v>
      </c>
      <c r="R124" s="65">
        <v>668.39999799999998</v>
      </c>
      <c r="S124" s="58"/>
      <c r="T124" s="61"/>
    </row>
    <row r="125" spans="1:20" x14ac:dyDescent="0.25">
      <c r="A125" s="64" t="s">
        <v>696</v>
      </c>
      <c r="B125" s="58"/>
      <c r="C125" s="58"/>
      <c r="D125" s="58"/>
      <c r="E125" s="29">
        <v>66.166667000000004</v>
      </c>
      <c r="F125" s="30" t="s">
        <v>612</v>
      </c>
      <c r="G125" s="30" t="s">
        <v>612</v>
      </c>
      <c r="H125" s="29">
        <v>66.166667000000004</v>
      </c>
      <c r="I125" s="31">
        <v>0</v>
      </c>
      <c r="J125" s="31">
        <v>0</v>
      </c>
      <c r="K125" s="31">
        <v>0</v>
      </c>
      <c r="L125" s="32">
        <v>66.166667000000004</v>
      </c>
      <c r="M125" s="29">
        <v>0</v>
      </c>
      <c r="N125" s="31">
        <v>0</v>
      </c>
      <c r="O125" s="31">
        <v>0</v>
      </c>
      <c r="P125" s="31">
        <v>0</v>
      </c>
      <c r="Q125" s="31">
        <v>0</v>
      </c>
      <c r="R125" s="65">
        <v>66.166667000000004</v>
      </c>
      <c r="S125" s="58"/>
      <c r="T125" s="61"/>
    </row>
    <row r="126" spans="1:20" x14ac:dyDescent="0.25">
      <c r="A126" s="64" t="s">
        <v>697</v>
      </c>
      <c r="B126" s="58"/>
      <c r="C126" s="58"/>
      <c r="D126" s="58"/>
      <c r="E126" s="29">
        <v>804.866669</v>
      </c>
      <c r="F126" s="30" t="s">
        <v>612</v>
      </c>
      <c r="G126" s="30" t="s">
        <v>612</v>
      </c>
      <c r="H126" s="29">
        <v>744.366669</v>
      </c>
      <c r="I126" s="31">
        <v>0</v>
      </c>
      <c r="J126" s="31">
        <v>0</v>
      </c>
      <c r="K126" s="31">
        <v>0</v>
      </c>
      <c r="L126" s="32">
        <v>744.366669</v>
      </c>
      <c r="M126" s="29">
        <v>24</v>
      </c>
      <c r="N126" s="31">
        <v>24</v>
      </c>
      <c r="O126" s="31">
        <v>12.5</v>
      </c>
      <c r="P126" s="31">
        <v>0</v>
      </c>
      <c r="Q126" s="31">
        <v>60.5</v>
      </c>
      <c r="R126" s="65">
        <v>804.866669</v>
      </c>
      <c r="S126" s="58"/>
      <c r="T126" s="61"/>
    </row>
    <row r="127" spans="1:20" x14ac:dyDescent="0.25">
      <c r="A127" s="64" t="s">
        <v>698</v>
      </c>
      <c r="B127" s="58"/>
      <c r="C127" s="58"/>
      <c r="D127" s="58"/>
      <c r="E127" s="29">
        <v>697.03333199999997</v>
      </c>
      <c r="F127" s="30" t="s">
        <v>612</v>
      </c>
      <c r="G127" s="30" t="s">
        <v>612</v>
      </c>
      <c r="H127" s="29">
        <v>661.03333199999997</v>
      </c>
      <c r="I127" s="31">
        <v>0</v>
      </c>
      <c r="J127" s="31">
        <v>0</v>
      </c>
      <c r="K127" s="31">
        <v>0</v>
      </c>
      <c r="L127" s="32">
        <v>661.03333199999997</v>
      </c>
      <c r="M127" s="29">
        <v>12</v>
      </c>
      <c r="N127" s="31">
        <v>24</v>
      </c>
      <c r="O127" s="31">
        <v>0</v>
      </c>
      <c r="P127" s="31">
        <v>0</v>
      </c>
      <c r="Q127" s="31">
        <v>36</v>
      </c>
      <c r="R127" s="65">
        <v>697.03333199999997</v>
      </c>
      <c r="S127" s="58"/>
      <c r="T127" s="61"/>
    </row>
    <row r="128" spans="1:20" x14ac:dyDescent="0.25">
      <c r="A128" s="64" t="s">
        <v>699</v>
      </c>
      <c r="B128" s="58"/>
      <c r="C128" s="58"/>
      <c r="D128" s="58"/>
      <c r="E128" s="29">
        <v>761.88333399999999</v>
      </c>
      <c r="F128" s="30" t="s">
        <v>612</v>
      </c>
      <c r="G128" s="30" t="s">
        <v>612</v>
      </c>
      <c r="H128" s="29">
        <v>690.23333400000001</v>
      </c>
      <c r="I128" s="31">
        <v>3.05</v>
      </c>
      <c r="J128" s="31">
        <v>0</v>
      </c>
      <c r="K128" s="31">
        <v>0</v>
      </c>
      <c r="L128" s="32">
        <v>693.28333399999997</v>
      </c>
      <c r="M128" s="29">
        <v>23.1</v>
      </c>
      <c r="N128" s="31">
        <v>24</v>
      </c>
      <c r="O128" s="31">
        <v>9.5</v>
      </c>
      <c r="P128" s="31">
        <v>12</v>
      </c>
      <c r="Q128" s="31">
        <v>68.599999999999994</v>
      </c>
      <c r="R128" s="65">
        <v>761.88333399999999</v>
      </c>
      <c r="S128" s="58"/>
      <c r="T128" s="61"/>
    </row>
    <row r="129" spans="1:20" x14ac:dyDescent="0.25">
      <c r="A129" s="64" t="s">
        <v>700</v>
      </c>
      <c r="B129" s="58"/>
      <c r="C129" s="58"/>
      <c r="D129" s="58"/>
      <c r="E129" s="29">
        <v>833.21666300000004</v>
      </c>
      <c r="F129" s="30" t="s">
        <v>612</v>
      </c>
      <c r="G129" s="30" t="s">
        <v>612</v>
      </c>
      <c r="H129" s="29">
        <v>801.78332999999998</v>
      </c>
      <c r="I129" s="31">
        <v>4.9333330000000002</v>
      </c>
      <c r="J129" s="31">
        <v>0</v>
      </c>
      <c r="K129" s="31">
        <v>0</v>
      </c>
      <c r="L129" s="32">
        <v>806.71666300000004</v>
      </c>
      <c r="M129" s="29">
        <v>0</v>
      </c>
      <c r="N129" s="31">
        <v>24</v>
      </c>
      <c r="O129" s="31">
        <v>2.5</v>
      </c>
      <c r="P129" s="31">
        <v>0</v>
      </c>
      <c r="Q129" s="31">
        <v>26.5</v>
      </c>
      <c r="R129" s="65">
        <v>833.21666300000004</v>
      </c>
      <c r="S129" s="58"/>
      <c r="T129" s="61"/>
    </row>
    <row r="130" spans="1:20" x14ac:dyDescent="0.25">
      <c r="A130" s="64" t="s">
        <v>654</v>
      </c>
      <c r="B130" s="58"/>
      <c r="C130" s="58"/>
      <c r="D130" s="58"/>
      <c r="E130" s="29">
        <v>37.15</v>
      </c>
      <c r="F130" s="30" t="s">
        <v>612</v>
      </c>
      <c r="G130" s="30" t="s">
        <v>612</v>
      </c>
      <c r="H130" s="29">
        <v>24.066666999999999</v>
      </c>
      <c r="I130" s="31">
        <v>0</v>
      </c>
      <c r="J130" s="31">
        <v>0</v>
      </c>
      <c r="K130" s="31">
        <v>0</v>
      </c>
      <c r="L130" s="32">
        <v>24.066666999999999</v>
      </c>
      <c r="M130" s="29">
        <v>0</v>
      </c>
      <c r="N130" s="31">
        <v>0</v>
      </c>
      <c r="O130" s="31">
        <v>0</v>
      </c>
      <c r="P130" s="31">
        <v>13.083333</v>
      </c>
      <c r="Q130" s="31">
        <v>13.083333</v>
      </c>
      <c r="R130" s="65">
        <v>37.15</v>
      </c>
      <c r="S130" s="58"/>
      <c r="T130" s="61"/>
    </row>
    <row r="131" spans="1:20" x14ac:dyDescent="0.25">
      <c r="A131" s="64" t="s">
        <v>701</v>
      </c>
      <c r="B131" s="58"/>
      <c r="C131" s="58"/>
      <c r="D131" s="58"/>
      <c r="E131" s="29">
        <v>796.21667200000002</v>
      </c>
      <c r="F131" s="30" t="s">
        <v>612</v>
      </c>
      <c r="G131" s="30" t="s">
        <v>612</v>
      </c>
      <c r="H131" s="29">
        <v>702.53333899999996</v>
      </c>
      <c r="I131" s="31">
        <v>31.683333000000001</v>
      </c>
      <c r="J131" s="31">
        <v>0</v>
      </c>
      <c r="K131" s="31">
        <v>0</v>
      </c>
      <c r="L131" s="32">
        <v>734.21667200000002</v>
      </c>
      <c r="M131" s="29">
        <v>28</v>
      </c>
      <c r="N131" s="31">
        <v>24</v>
      </c>
      <c r="O131" s="31">
        <v>10</v>
      </c>
      <c r="P131" s="31">
        <v>0</v>
      </c>
      <c r="Q131" s="31">
        <v>62</v>
      </c>
      <c r="R131" s="65">
        <v>796.21667200000002</v>
      </c>
      <c r="S131" s="58"/>
      <c r="T131" s="61"/>
    </row>
    <row r="132" spans="1:20" x14ac:dyDescent="0.25">
      <c r="A132" s="64" t="s">
        <v>657</v>
      </c>
      <c r="B132" s="58"/>
      <c r="C132" s="58"/>
      <c r="D132" s="58"/>
      <c r="E132" s="29">
        <v>65.500000999999997</v>
      </c>
      <c r="F132" s="30" t="s">
        <v>612</v>
      </c>
      <c r="G132" s="30" t="s">
        <v>612</v>
      </c>
      <c r="H132" s="29">
        <v>52.900001000000003</v>
      </c>
      <c r="I132" s="31">
        <v>12.6</v>
      </c>
      <c r="J132" s="31">
        <v>0</v>
      </c>
      <c r="K132" s="31">
        <v>0</v>
      </c>
      <c r="L132" s="32">
        <v>65.500000999999997</v>
      </c>
      <c r="M132" s="29">
        <v>0</v>
      </c>
      <c r="N132" s="31">
        <v>0</v>
      </c>
      <c r="O132" s="31">
        <v>0</v>
      </c>
      <c r="P132" s="31">
        <v>0</v>
      </c>
      <c r="Q132" s="31">
        <v>0</v>
      </c>
      <c r="R132" s="65">
        <v>65.500000999999997</v>
      </c>
      <c r="S132" s="58"/>
      <c r="T132" s="61"/>
    </row>
    <row r="133" spans="1:20" x14ac:dyDescent="0.25">
      <c r="A133" s="64" t="s">
        <v>659</v>
      </c>
      <c r="B133" s="58"/>
      <c r="C133" s="58"/>
      <c r="D133" s="58"/>
      <c r="E133" s="29">
        <v>5.15</v>
      </c>
      <c r="F133" s="30" t="s">
        <v>612</v>
      </c>
      <c r="G133" s="30" t="s">
        <v>612</v>
      </c>
      <c r="H133" s="29">
        <v>5.15</v>
      </c>
      <c r="I133" s="31">
        <v>0</v>
      </c>
      <c r="J133" s="31">
        <v>0</v>
      </c>
      <c r="K133" s="31">
        <v>0</v>
      </c>
      <c r="L133" s="32">
        <v>5.15</v>
      </c>
      <c r="M133" s="29">
        <v>0</v>
      </c>
      <c r="N133" s="31">
        <v>0</v>
      </c>
      <c r="O133" s="31">
        <v>0</v>
      </c>
      <c r="P133" s="31">
        <v>0</v>
      </c>
      <c r="Q133" s="31">
        <v>0</v>
      </c>
      <c r="R133" s="65">
        <v>5.15</v>
      </c>
      <c r="S133" s="58"/>
      <c r="T133" s="61"/>
    </row>
    <row r="134" spans="1:20" x14ac:dyDescent="0.25">
      <c r="A134" s="62" t="s">
        <v>674</v>
      </c>
      <c r="B134" s="58"/>
      <c r="C134" s="58"/>
      <c r="D134" s="58"/>
      <c r="E134" s="23" t="s">
        <v>612</v>
      </c>
      <c r="F134" s="24" t="s">
        <v>612</v>
      </c>
      <c r="G134" s="24" t="s">
        <v>612</v>
      </c>
      <c r="H134" s="23" t="s">
        <v>612</v>
      </c>
      <c r="I134" s="24" t="s">
        <v>612</v>
      </c>
      <c r="J134" s="24" t="s">
        <v>612</v>
      </c>
      <c r="K134" s="24" t="s">
        <v>612</v>
      </c>
      <c r="L134" s="25" t="s">
        <v>612</v>
      </c>
      <c r="M134" s="26" t="s">
        <v>612</v>
      </c>
      <c r="N134" s="27" t="s">
        <v>612</v>
      </c>
      <c r="O134" s="27" t="s">
        <v>612</v>
      </c>
      <c r="P134" s="27" t="s">
        <v>612</v>
      </c>
      <c r="Q134" s="28" t="s">
        <v>612</v>
      </c>
      <c r="R134" s="63" t="s">
        <v>612</v>
      </c>
      <c r="S134" s="58"/>
      <c r="T134" s="61"/>
    </row>
    <row r="135" spans="1:20" x14ac:dyDescent="0.25">
      <c r="A135" s="64" t="s">
        <v>702</v>
      </c>
      <c r="B135" s="58"/>
      <c r="C135" s="58"/>
      <c r="D135" s="58"/>
      <c r="E135" s="29">
        <v>383.70000299999998</v>
      </c>
      <c r="F135" s="30" t="s">
        <v>612</v>
      </c>
      <c r="G135" s="30" t="s">
        <v>612</v>
      </c>
      <c r="H135" s="29">
        <v>251.00000399999999</v>
      </c>
      <c r="I135" s="31">
        <v>0</v>
      </c>
      <c r="J135" s="31">
        <v>0</v>
      </c>
      <c r="K135" s="31">
        <v>0</v>
      </c>
      <c r="L135" s="32">
        <v>251.00000399999999</v>
      </c>
      <c r="M135" s="29">
        <v>0</v>
      </c>
      <c r="N135" s="31">
        <v>16</v>
      </c>
      <c r="O135" s="31">
        <v>116.69999900000001</v>
      </c>
      <c r="P135" s="31">
        <v>0</v>
      </c>
      <c r="Q135" s="31">
        <v>132.69999899999999</v>
      </c>
      <c r="R135" s="65">
        <v>383.70000299999998</v>
      </c>
      <c r="S135" s="58"/>
      <c r="T135" s="61"/>
    </row>
    <row r="136" spans="1:20" x14ac:dyDescent="0.25">
      <c r="A136" s="62" t="s">
        <v>634</v>
      </c>
      <c r="B136" s="58"/>
      <c r="C136" s="58"/>
      <c r="D136" s="58"/>
      <c r="E136" s="23" t="s">
        <v>612</v>
      </c>
      <c r="F136" s="24" t="s">
        <v>612</v>
      </c>
      <c r="G136" s="24" t="s">
        <v>612</v>
      </c>
      <c r="H136" s="23" t="s">
        <v>612</v>
      </c>
      <c r="I136" s="24" t="s">
        <v>612</v>
      </c>
      <c r="J136" s="24" t="s">
        <v>612</v>
      </c>
      <c r="K136" s="24" t="s">
        <v>612</v>
      </c>
      <c r="L136" s="25" t="s">
        <v>612</v>
      </c>
      <c r="M136" s="26" t="s">
        <v>612</v>
      </c>
      <c r="N136" s="27" t="s">
        <v>612</v>
      </c>
      <c r="O136" s="27" t="s">
        <v>612</v>
      </c>
      <c r="P136" s="27" t="s">
        <v>612</v>
      </c>
      <c r="Q136" s="28" t="s">
        <v>612</v>
      </c>
      <c r="R136" s="63" t="s">
        <v>612</v>
      </c>
      <c r="S136" s="58"/>
      <c r="T136" s="61"/>
    </row>
    <row r="137" spans="1:20" x14ac:dyDescent="0.25">
      <c r="A137" s="64" t="s">
        <v>703</v>
      </c>
      <c r="B137" s="58"/>
      <c r="C137" s="58"/>
      <c r="D137" s="58"/>
      <c r="E137" s="29">
        <v>13.116667</v>
      </c>
      <c r="F137" s="30" t="s">
        <v>612</v>
      </c>
      <c r="G137" s="30" t="s">
        <v>612</v>
      </c>
      <c r="H137" s="29">
        <v>3.6166670000000001</v>
      </c>
      <c r="I137" s="31">
        <v>0</v>
      </c>
      <c r="J137" s="31">
        <v>0</v>
      </c>
      <c r="K137" s="31">
        <v>0</v>
      </c>
      <c r="L137" s="32">
        <v>3.6166670000000001</v>
      </c>
      <c r="M137" s="29">
        <v>0</v>
      </c>
      <c r="N137" s="31">
        <v>0</v>
      </c>
      <c r="O137" s="31">
        <v>9.5</v>
      </c>
      <c r="P137" s="31">
        <v>0</v>
      </c>
      <c r="Q137" s="31">
        <v>9.5</v>
      </c>
      <c r="R137" s="65">
        <v>13.116667</v>
      </c>
      <c r="S137" s="58"/>
      <c r="T137" s="61"/>
    </row>
    <row r="138" spans="1:20" x14ac:dyDescent="0.25">
      <c r="A138" s="64" t="s">
        <v>660</v>
      </c>
      <c r="B138" s="58"/>
      <c r="C138" s="58"/>
      <c r="D138" s="58"/>
      <c r="E138" s="29">
        <v>143.933334</v>
      </c>
      <c r="F138" s="30" t="s">
        <v>612</v>
      </c>
      <c r="G138" s="30" t="s">
        <v>612</v>
      </c>
      <c r="H138" s="29">
        <v>136.933334</v>
      </c>
      <c r="I138" s="31">
        <v>0</v>
      </c>
      <c r="J138" s="31">
        <v>0</v>
      </c>
      <c r="K138" s="31">
        <v>0</v>
      </c>
      <c r="L138" s="32">
        <v>136.933334</v>
      </c>
      <c r="M138" s="29">
        <v>0</v>
      </c>
      <c r="N138" s="31">
        <v>0</v>
      </c>
      <c r="O138" s="31">
        <v>7</v>
      </c>
      <c r="P138" s="31">
        <v>0</v>
      </c>
      <c r="Q138" s="31">
        <v>7</v>
      </c>
      <c r="R138" s="65">
        <v>143.933334</v>
      </c>
      <c r="S138" s="58"/>
      <c r="T138" s="61"/>
    </row>
    <row r="139" spans="1:20" x14ac:dyDescent="0.25">
      <c r="A139" s="64" t="s">
        <v>661</v>
      </c>
      <c r="B139" s="58"/>
      <c r="C139" s="58"/>
      <c r="D139" s="58"/>
      <c r="E139" s="29">
        <v>208</v>
      </c>
      <c r="F139" s="30" t="s">
        <v>612</v>
      </c>
      <c r="G139" s="30" t="s">
        <v>612</v>
      </c>
      <c r="H139" s="29">
        <v>175.13333299999999</v>
      </c>
      <c r="I139" s="31">
        <v>0</v>
      </c>
      <c r="J139" s="31">
        <v>0</v>
      </c>
      <c r="K139" s="31">
        <v>0</v>
      </c>
      <c r="L139" s="32">
        <v>175.13333299999999</v>
      </c>
      <c r="M139" s="29">
        <v>0</v>
      </c>
      <c r="N139" s="31">
        <v>0</v>
      </c>
      <c r="O139" s="31">
        <v>32.866667</v>
      </c>
      <c r="P139" s="31">
        <v>0</v>
      </c>
      <c r="Q139" s="31">
        <v>32.866667</v>
      </c>
      <c r="R139" s="65">
        <v>208</v>
      </c>
      <c r="S139" s="58"/>
      <c r="T139" s="61"/>
    </row>
    <row r="140" spans="1:20" x14ac:dyDescent="0.25">
      <c r="A140" s="64" t="s">
        <v>662</v>
      </c>
      <c r="B140" s="58"/>
      <c r="C140" s="58"/>
      <c r="D140" s="58"/>
      <c r="E140" s="29">
        <v>180.26666599999999</v>
      </c>
      <c r="F140" s="30" t="s">
        <v>612</v>
      </c>
      <c r="G140" s="30" t="s">
        <v>612</v>
      </c>
      <c r="H140" s="29">
        <v>169.76666599999999</v>
      </c>
      <c r="I140" s="31">
        <v>0</v>
      </c>
      <c r="J140" s="31">
        <v>0</v>
      </c>
      <c r="K140" s="31">
        <v>0</v>
      </c>
      <c r="L140" s="32">
        <v>169.76666599999999</v>
      </c>
      <c r="M140" s="29">
        <v>0</v>
      </c>
      <c r="N140" s="31">
        <v>0</v>
      </c>
      <c r="O140" s="31">
        <v>10.5</v>
      </c>
      <c r="P140" s="31">
        <v>0</v>
      </c>
      <c r="Q140" s="31">
        <v>10.5</v>
      </c>
      <c r="R140" s="65">
        <v>180.26666599999999</v>
      </c>
      <c r="S140" s="58"/>
      <c r="T140" s="61"/>
    </row>
    <row r="141" spans="1:20" x14ac:dyDescent="0.25">
      <c r="A141" s="64" t="s">
        <v>663</v>
      </c>
      <c r="B141" s="58"/>
      <c r="C141" s="58"/>
      <c r="D141" s="58"/>
      <c r="E141" s="29">
        <v>48.733333000000002</v>
      </c>
      <c r="F141" s="30" t="s">
        <v>612</v>
      </c>
      <c r="G141" s="30" t="s">
        <v>612</v>
      </c>
      <c r="H141" s="29">
        <v>28.4</v>
      </c>
      <c r="I141" s="31">
        <v>0</v>
      </c>
      <c r="J141" s="31">
        <v>0</v>
      </c>
      <c r="K141" s="31">
        <v>0</v>
      </c>
      <c r="L141" s="32">
        <v>28.4</v>
      </c>
      <c r="M141" s="29">
        <v>0</v>
      </c>
      <c r="N141" s="31">
        <v>0</v>
      </c>
      <c r="O141" s="31">
        <v>20.333333</v>
      </c>
      <c r="P141" s="31">
        <v>0</v>
      </c>
      <c r="Q141" s="31">
        <v>20.333333</v>
      </c>
      <c r="R141" s="65">
        <v>48.733333000000002</v>
      </c>
      <c r="S141" s="58"/>
      <c r="T141" s="61"/>
    </row>
    <row r="142" spans="1:20" x14ac:dyDescent="0.25">
      <c r="A142" s="64" t="s">
        <v>664</v>
      </c>
      <c r="B142" s="58"/>
      <c r="C142" s="58"/>
      <c r="D142" s="58"/>
      <c r="E142" s="29">
        <v>40.033332999999999</v>
      </c>
      <c r="F142" s="30" t="s">
        <v>612</v>
      </c>
      <c r="G142" s="30" t="s">
        <v>612</v>
      </c>
      <c r="H142" s="29">
        <v>32.533332999999999</v>
      </c>
      <c r="I142" s="31">
        <v>0</v>
      </c>
      <c r="J142" s="31">
        <v>0</v>
      </c>
      <c r="K142" s="31">
        <v>0</v>
      </c>
      <c r="L142" s="32">
        <v>32.533332999999999</v>
      </c>
      <c r="M142" s="29">
        <v>0</v>
      </c>
      <c r="N142" s="31">
        <v>0</v>
      </c>
      <c r="O142" s="31">
        <v>7.5</v>
      </c>
      <c r="P142" s="31">
        <v>0</v>
      </c>
      <c r="Q142" s="31">
        <v>7.5</v>
      </c>
      <c r="R142" s="65">
        <v>40.033332999999999</v>
      </c>
      <c r="S142" s="58"/>
      <c r="T142" s="61"/>
    </row>
    <row r="143" spans="1:20" x14ac:dyDescent="0.25">
      <c r="A143" s="64" t="s">
        <v>704</v>
      </c>
      <c r="B143" s="58"/>
      <c r="C143" s="58"/>
      <c r="D143" s="58"/>
      <c r="E143" s="29">
        <v>76.600001000000006</v>
      </c>
      <c r="F143" s="30" t="s">
        <v>612</v>
      </c>
      <c r="G143" s="30" t="s">
        <v>612</v>
      </c>
      <c r="H143" s="29">
        <v>33.433334000000002</v>
      </c>
      <c r="I143" s="31">
        <v>0</v>
      </c>
      <c r="J143" s="31">
        <v>0</v>
      </c>
      <c r="K143" s="31">
        <v>0</v>
      </c>
      <c r="L143" s="32">
        <v>33.433334000000002</v>
      </c>
      <c r="M143" s="29">
        <v>0</v>
      </c>
      <c r="N143" s="31">
        <v>0</v>
      </c>
      <c r="O143" s="31">
        <v>43.166666999999997</v>
      </c>
      <c r="P143" s="31">
        <v>0</v>
      </c>
      <c r="Q143" s="31">
        <v>43.166666999999997</v>
      </c>
      <c r="R143" s="65">
        <v>76.600001000000006</v>
      </c>
      <c r="S143" s="58"/>
      <c r="T143" s="61"/>
    </row>
    <row r="144" spans="1:20" x14ac:dyDescent="0.25">
      <c r="A144" s="64" t="s">
        <v>705</v>
      </c>
      <c r="B144" s="58"/>
      <c r="C144" s="58"/>
      <c r="D144" s="58"/>
      <c r="E144" s="29">
        <v>91.733333999999999</v>
      </c>
      <c r="F144" s="30" t="s">
        <v>612</v>
      </c>
      <c r="G144" s="30" t="s">
        <v>612</v>
      </c>
      <c r="H144" s="29">
        <v>61.083334000000001</v>
      </c>
      <c r="I144" s="31">
        <v>14.816667000000001</v>
      </c>
      <c r="J144" s="31">
        <v>0</v>
      </c>
      <c r="K144" s="31">
        <v>0</v>
      </c>
      <c r="L144" s="32">
        <v>75.900001000000003</v>
      </c>
      <c r="M144" s="29">
        <v>0</v>
      </c>
      <c r="N144" s="31">
        <v>0</v>
      </c>
      <c r="O144" s="31">
        <v>0</v>
      </c>
      <c r="P144" s="31">
        <v>15.833333</v>
      </c>
      <c r="Q144" s="31">
        <v>15.833333</v>
      </c>
      <c r="R144" s="65">
        <v>91.733333999999999</v>
      </c>
      <c r="S144" s="58"/>
      <c r="T144" s="61"/>
    </row>
    <row r="145" spans="1:20" x14ac:dyDescent="0.25">
      <c r="A145" s="64" t="s">
        <v>665</v>
      </c>
      <c r="B145" s="58"/>
      <c r="C145" s="58"/>
      <c r="D145" s="58"/>
      <c r="E145" s="29">
        <v>86.833333999999994</v>
      </c>
      <c r="F145" s="30" t="s">
        <v>612</v>
      </c>
      <c r="G145" s="30" t="s">
        <v>612</v>
      </c>
      <c r="H145" s="29">
        <v>74.916667000000004</v>
      </c>
      <c r="I145" s="31">
        <v>0</v>
      </c>
      <c r="J145" s="31">
        <v>0</v>
      </c>
      <c r="K145" s="31">
        <v>0</v>
      </c>
      <c r="L145" s="32">
        <v>74.916667000000004</v>
      </c>
      <c r="M145" s="29">
        <v>0</v>
      </c>
      <c r="N145" s="31">
        <v>0</v>
      </c>
      <c r="O145" s="31">
        <v>11.916667</v>
      </c>
      <c r="P145" s="31">
        <v>0</v>
      </c>
      <c r="Q145" s="31">
        <v>11.916667</v>
      </c>
      <c r="R145" s="65">
        <v>86.833333999999994</v>
      </c>
      <c r="S145" s="58"/>
      <c r="T145" s="61"/>
    </row>
    <row r="146" spans="1:20" x14ac:dyDescent="0.25">
      <c r="A146" s="64" t="s">
        <v>706</v>
      </c>
      <c r="B146" s="58"/>
      <c r="C146" s="58"/>
      <c r="D146" s="58"/>
      <c r="E146" s="29">
        <v>10.5</v>
      </c>
      <c r="F146" s="30" t="s">
        <v>612</v>
      </c>
      <c r="G146" s="30" t="s">
        <v>612</v>
      </c>
      <c r="H146" s="29">
        <v>0</v>
      </c>
      <c r="I146" s="31">
        <v>0</v>
      </c>
      <c r="J146" s="31">
        <v>0</v>
      </c>
      <c r="K146" s="31">
        <v>0</v>
      </c>
      <c r="L146" s="32">
        <v>0</v>
      </c>
      <c r="M146" s="29">
        <v>0</v>
      </c>
      <c r="N146" s="31">
        <v>0</v>
      </c>
      <c r="O146" s="31">
        <v>10.5</v>
      </c>
      <c r="P146" s="31">
        <v>0</v>
      </c>
      <c r="Q146" s="31">
        <v>10.5</v>
      </c>
      <c r="R146" s="65">
        <v>10.5</v>
      </c>
      <c r="S146" s="58"/>
      <c r="T146" s="61"/>
    </row>
    <row r="147" spans="1:20" x14ac:dyDescent="0.25">
      <c r="A147" s="64" t="s">
        <v>666</v>
      </c>
      <c r="B147" s="58"/>
      <c r="C147" s="58"/>
      <c r="D147" s="58"/>
      <c r="E147" s="29">
        <v>108.549998</v>
      </c>
      <c r="F147" s="30" t="s">
        <v>612</v>
      </c>
      <c r="G147" s="30" t="s">
        <v>612</v>
      </c>
      <c r="H147" s="29">
        <v>18.249998999999999</v>
      </c>
      <c r="I147" s="31">
        <v>0</v>
      </c>
      <c r="J147" s="31">
        <v>0</v>
      </c>
      <c r="K147" s="31">
        <v>0</v>
      </c>
      <c r="L147" s="32">
        <v>18.249998999999999</v>
      </c>
      <c r="M147" s="29">
        <v>0</v>
      </c>
      <c r="N147" s="31">
        <v>0</v>
      </c>
      <c r="O147" s="31">
        <v>90.299999</v>
      </c>
      <c r="P147" s="31">
        <v>0</v>
      </c>
      <c r="Q147" s="31">
        <v>90.299999</v>
      </c>
      <c r="R147" s="65">
        <v>108.549998</v>
      </c>
      <c r="S147" s="58"/>
      <c r="T147" s="61"/>
    </row>
    <row r="148" spans="1:20" x14ac:dyDescent="0.25">
      <c r="A148" s="64" t="s">
        <v>667</v>
      </c>
      <c r="B148" s="58"/>
      <c r="C148" s="58"/>
      <c r="D148" s="58"/>
      <c r="E148" s="29">
        <v>119.283334</v>
      </c>
      <c r="F148" s="30" t="s">
        <v>612</v>
      </c>
      <c r="G148" s="30" t="s">
        <v>612</v>
      </c>
      <c r="H148" s="29">
        <v>119.283334</v>
      </c>
      <c r="I148" s="31">
        <v>0</v>
      </c>
      <c r="J148" s="31">
        <v>0</v>
      </c>
      <c r="K148" s="31">
        <v>0</v>
      </c>
      <c r="L148" s="32">
        <v>119.283334</v>
      </c>
      <c r="M148" s="29">
        <v>0</v>
      </c>
      <c r="N148" s="31">
        <v>0</v>
      </c>
      <c r="O148" s="31">
        <v>0</v>
      </c>
      <c r="P148" s="31">
        <v>0</v>
      </c>
      <c r="Q148" s="31">
        <v>0</v>
      </c>
      <c r="R148" s="65">
        <v>119.283334</v>
      </c>
      <c r="S148" s="58"/>
      <c r="T148" s="61"/>
    </row>
    <row r="149" spans="1:20" x14ac:dyDescent="0.25">
      <c r="A149" s="64" t="s">
        <v>707</v>
      </c>
      <c r="B149" s="58"/>
      <c r="C149" s="58"/>
      <c r="D149" s="58"/>
      <c r="E149" s="29">
        <v>13.266666000000001</v>
      </c>
      <c r="F149" s="30" t="s">
        <v>612</v>
      </c>
      <c r="G149" s="30" t="s">
        <v>612</v>
      </c>
      <c r="H149" s="29">
        <v>13.266666000000001</v>
      </c>
      <c r="I149" s="31">
        <v>0</v>
      </c>
      <c r="J149" s="31">
        <v>0</v>
      </c>
      <c r="K149" s="31">
        <v>0</v>
      </c>
      <c r="L149" s="32">
        <v>13.266666000000001</v>
      </c>
      <c r="M149" s="29">
        <v>0</v>
      </c>
      <c r="N149" s="31">
        <v>0</v>
      </c>
      <c r="O149" s="31">
        <v>0</v>
      </c>
      <c r="P149" s="31">
        <v>0</v>
      </c>
      <c r="Q149" s="31">
        <v>0</v>
      </c>
      <c r="R149" s="65">
        <v>13.266666000000001</v>
      </c>
      <c r="S149" s="58"/>
      <c r="T149" s="61"/>
    </row>
    <row r="150" spans="1:20" x14ac:dyDescent="0.25">
      <c r="A150" s="64" t="s">
        <v>708</v>
      </c>
      <c r="B150" s="58"/>
      <c r="C150" s="58"/>
      <c r="D150" s="58"/>
      <c r="E150" s="29">
        <v>10.5</v>
      </c>
      <c r="F150" s="30" t="s">
        <v>612</v>
      </c>
      <c r="G150" s="30" t="s">
        <v>612</v>
      </c>
      <c r="H150" s="29">
        <v>0</v>
      </c>
      <c r="I150" s="31">
        <v>0</v>
      </c>
      <c r="J150" s="31">
        <v>0</v>
      </c>
      <c r="K150" s="31">
        <v>0</v>
      </c>
      <c r="L150" s="32">
        <v>0</v>
      </c>
      <c r="M150" s="29">
        <v>0</v>
      </c>
      <c r="N150" s="31">
        <v>0</v>
      </c>
      <c r="O150" s="31">
        <v>10.5</v>
      </c>
      <c r="P150" s="31">
        <v>0</v>
      </c>
      <c r="Q150" s="31">
        <v>10.5</v>
      </c>
      <c r="R150" s="65">
        <v>10.5</v>
      </c>
      <c r="S150" s="58"/>
      <c r="T150" s="61"/>
    </row>
    <row r="151" spans="1:20" x14ac:dyDescent="0.25">
      <c r="A151" s="64" t="s">
        <v>709</v>
      </c>
      <c r="B151" s="58"/>
      <c r="C151" s="58"/>
      <c r="D151" s="58"/>
      <c r="E151" s="29">
        <v>114.333333</v>
      </c>
      <c r="F151" s="30" t="s">
        <v>612</v>
      </c>
      <c r="G151" s="30" t="s">
        <v>612</v>
      </c>
      <c r="H151" s="29">
        <v>3</v>
      </c>
      <c r="I151" s="31">
        <v>0</v>
      </c>
      <c r="J151" s="31">
        <v>0</v>
      </c>
      <c r="K151" s="31">
        <v>0</v>
      </c>
      <c r="L151" s="32">
        <v>3</v>
      </c>
      <c r="M151" s="29">
        <v>0</v>
      </c>
      <c r="N151" s="31">
        <v>0</v>
      </c>
      <c r="O151" s="31">
        <v>111.333333</v>
      </c>
      <c r="P151" s="31">
        <v>0</v>
      </c>
      <c r="Q151" s="31">
        <v>111.333333</v>
      </c>
      <c r="R151" s="65">
        <v>114.333333</v>
      </c>
      <c r="S151" s="58"/>
      <c r="T151" s="61"/>
    </row>
    <row r="152" spans="1:20" x14ac:dyDescent="0.25">
      <c r="A152" s="64" t="s">
        <v>659</v>
      </c>
      <c r="B152" s="58"/>
      <c r="C152" s="58"/>
      <c r="D152" s="58"/>
      <c r="E152" s="29">
        <v>0</v>
      </c>
      <c r="F152" s="30" t="s">
        <v>612</v>
      </c>
      <c r="G152" s="30" t="s">
        <v>612</v>
      </c>
      <c r="H152" s="29">
        <v>0</v>
      </c>
      <c r="I152" s="31">
        <v>0</v>
      </c>
      <c r="J152" s="31">
        <v>0</v>
      </c>
      <c r="K152" s="31">
        <v>0</v>
      </c>
      <c r="L152" s="32">
        <v>0</v>
      </c>
      <c r="M152" s="29">
        <v>0</v>
      </c>
      <c r="N152" s="31">
        <v>0</v>
      </c>
      <c r="O152" s="31">
        <v>0</v>
      </c>
      <c r="P152" s="31">
        <v>0</v>
      </c>
      <c r="Q152" s="31">
        <v>0</v>
      </c>
      <c r="R152" s="65">
        <v>0</v>
      </c>
      <c r="S152" s="58"/>
      <c r="T152" s="61"/>
    </row>
    <row r="153" spans="1:20" x14ac:dyDescent="0.25">
      <c r="A153" s="70" t="s">
        <v>710</v>
      </c>
      <c r="B153" s="58"/>
      <c r="C153" s="58"/>
      <c r="D153" s="58"/>
      <c r="E153" s="33">
        <v>10555.183344999999</v>
      </c>
      <c r="F153" s="34">
        <v>8820</v>
      </c>
      <c r="G153" s="34">
        <v>1735.1833449999999</v>
      </c>
      <c r="H153" s="33">
        <v>9350.4166819999991</v>
      </c>
      <c r="I153" s="35">
        <v>111.833332</v>
      </c>
      <c r="J153" s="35">
        <v>0</v>
      </c>
      <c r="K153" s="35">
        <v>0</v>
      </c>
      <c r="L153" s="36">
        <v>9462.2500139999993</v>
      </c>
      <c r="M153" s="33">
        <v>212.4</v>
      </c>
      <c r="N153" s="37">
        <v>248</v>
      </c>
      <c r="O153" s="35">
        <v>543.11666500000001</v>
      </c>
      <c r="P153" s="35">
        <v>89.416666000000006</v>
      </c>
      <c r="Q153" s="35">
        <v>1092.933331</v>
      </c>
      <c r="R153" s="71">
        <v>10555.183344999999</v>
      </c>
      <c r="S153" s="58"/>
      <c r="T153" s="61"/>
    </row>
    <row r="154" spans="1:20" x14ac:dyDescent="0.25">
      <c r="A154" s="72" t="s">
        <v>711</v>
      </c>
      <c r="B154" s="58"/>
      <c r="C154" s="58"/>
      <c r="D154" s="58"/>
      <c r="E154" s="38">
        <v>23905.750021</v>
      </c>
      <c r="F154" s="39">
        <v>20790</v>
      </c>
      <c r="G154" s="40">
        <v>3115.7500209999998</v>
      </c>
      <c r="H154" s="38">
        <v>21225.516695999999</v>
      </c>
      <c r="I154" s="40">
        <v>326.68332800000002</v>
      </c>
      <c r="J154" s="40">
        <v>0</v>
      </c>
      <c r="K154" s="40">
        <v>0</v>
      </c>
      <c r="L154" s="41">
        <v>21552.200024000002</v>
      </c>
      <c r="M154" s="38">
        <v>663.71666700000003</v>
      </c>
      <c r="N154" s="42">
        <v>640</v>
      </c>
      <c r="O154" s="43">
        <v>853.16666399999997</v>
      </c>
      <c r="P154" s="43">
        <v>196.66666599999999</v>
      </c>
      <c r="Q154" s="43">
        <v>2353.5499970000001</v>
      </c>
      <c r="R154" s="73">
        <v>23905.750021</v>
      </c>
      <c r="S154" s="58"/>
      <c r="T154" s="61"/>
    </row>
    <row r="155" spans="1:20" ht="3.95" customHeight="1" x14ac:dyDescent="0.25">
      <c r="A155" s="74" t="s">
        <v>612</v>
      </c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</row>
    <row r="156" spans="1:20" ht="18" customHeight="1" x14ac:dyDescent="0.25">
      <c r="A156" s="57" t="s">
        <v>712</v>
      </c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</row>
    <row r="157" spans="1:20" x14ac:dyDescent="0.25">
      <c r="A157" s="59" t="s">
        <v>713</v>
      </c>
      <c r="B157" s="58"/>
      <c r="C157" s="58"/>
      <c r="D157" s="58"/>
      <c r="E157" s="20" t="s">
        <v>612</v>
      </c>
      <c r="F157" s="21" t="s">
        <v>612</v>
      </c>
      <c r="G157" s="21" t="s">
        <v>612</v>
      </c>
      <c r="H157" s="20" t="s">
        <v>612</v>
      </c>
      <c r="I157" s="21" t="s">
        <v>612</v>
      </c>
      <c r="J157" s="21" t="s">
        <v>612</v>
      </c>
      <c r="K157" s="21" t="s">
        <v>612</v>
      </c>
      <c r="L157" s="22" t="s">
        <v>612</v>
      </c>
      <c r="M157" s="20" t="s">
        <v>612</v>
      </c>
      <c r="N157" s="21" t="s">
        <v>612</v>
      </c>
      <c r="O157" s="21" t="s">
        <v>612</v>
      </c>
      <c r="P157" s="21" t="s">
        <v>612</v>
      </c>
      <c r="Q157" s="22" t="s">
        <v>612</v>
      </c>
      <c r="R157" s="60" t="s">
        <v>612</v>
      </c>
      <c r="S157" s="58"/>
      <c r="T157" s="61"/>
    </row>
    <row r="158" spans="1:20" x14ac:dyDescent="0.25">
      <c r="A158" s="62" t="s">
        <v>613</v>
      </c>
      <c r="B158" s="58"/>
      <c r="C158" s="58"/>
      <c r="D158" s="58"/>
      <c r="E158" s="23" t="s">
        <v>612</v>
      </c>
      <c r="F158" s="24" t="s">
        <v>612</v>
      </c>
      <c r="G158" s="24" t="s">
        <v>612</v>
      </c>
      <c r="H158" s="23" t="s">
        <v>612</v>
      </c>
      <c r="I158" s="24" t="s">
        <v>612</v>
      </c>
      <c r="J158" s="24" t="s">
        <v>612</v>
      </c>
      <c r="K158" s="24" t="s">
        <v>612</v>
      </c>
      <c r="L158" s="25" t="s">
        <v>612</v>
      </c>
      <c r="M158" s="26" t="s">
        <v>612</v>
      </c>
      <c r="N158" s="27" t="s">
        <v>612</v>
      </c>
      <c r="O158" s="27" t="s">
        <v>612</v>
      </c>
      <c r="P158" s="27" t="s">
        <v>612</v>
      </c>
      <c r="Q158" s="28" t="s">
        <v>612</v>
      </c>
      <c r="R158" s="63" t="s">
        <v>612</v>
      </c>
      <c r="S158" s="58"/>
      <c r="T158" s="61"/>
    </row>
    <row r="159" spans="1:20" x14ac:dyDescent="0.25">
      <c r="A159" s="64" t="s">
        <v>714</v>
      </c>
      <c r="B159" s="58"/>
      <c r="C159" s="58"/>
      <c r="D159" s="58"/>
      <c r="E159" s="29">
        <v>0.98333300000000001</v>
      </c>
      <c r="F159" s="30" t="s">
        <v>612</v>
      </c>
      <c r="G159" s="30" t="s">
        <v>612</v>
      </c>
      <c r="H159" s="29">
        <v>0.98333300000000001</v>
      </c>
      <c r="I159" s="31">
        <v>0</v>
      </c>
      <c r="J159" s="31">
        <v>0</v>
      </c>
      <c r="K159" s="31">
        <v>0</v>
      </c>
      <c r="L159" s="32">
        <v>0.98333300000000001</v>
      </c>
      <c r="M159" s="29">
        <v>0</v>
      </c>
      <c r="N159" s="31">
        <v>0</v>
      </c>
      <c r="O159" s="31">
        <v>0</v>
      </c>
      <c r="P159" s="31">
        <v>0</v>
      </c>
      <c r="Q159" s="31">
        <v>0</v>
      </c>
      <c r="R159" s="65">
        <v>0.98333300000000001</v>
      </c>
      <c r="S159" s="58"/>
      <c r="T159" s="61"/>
    </row>
    <row r="160" spans="1:20" x14ac:dyDescent="0.25">
      <c r="A160" s="64" t="s">
        <v>715</v>
      </c>
      <c r="B160" s="58"/>
      <c r="C160" s="58"/>
      <c r="D160" s="58"/>
      <c r="E160" s="29">
        <v>832.44999700000005</v>
      </c>
      <c r="F160" s="30" t="s">
        <v>612</v>
      </c>
      <c r="G160" s="30" t="s">
        <v>612</v>
      </c>
      <c r="H160" s="29">
        <v>792.76666299999999</v>
      </c>
      <c r="I160" s="31">
        <v>15.683334</v>
      </c>
      <c r="J160" s="31">
        <v>0</v>
      </c>
      <c r="K160" s="31">
        <v>0</v>
      </c>
      <c r="L160" s="32">
        <v>808.44999700000005</v>
      </c>
      <c r="M160" s="29">
        <v>0</v>
      </c>
      <c r="N160" s="31">
        <v>24</v>
      </c>
      <c r="O160" s="31">
        <v>0</v>
      </c>
      <c r="P160" s="31">
        <v>0</v>
      </c>
      <c r="Q160" s="31">
        <v>24</v>
      </c>
      <c r="R160" s="65">
        <v>832.44999700000005</v>
      </c>
      <c r="S160" s="58"/>
      <c r="T160" s="61"/>
    </row>
    <row r="161" spans="1:20" x14ac:dyDescent="0.25">
      <c r="A161" s="64" t="s">
        <v>716</v>
      </c>
      <c r="B161" s="58"/>
      <c r="C161" s="58"/>
      <c r="D161" s="58"/>
      <c r="E161" s="29">
        <v>871.71666100000004</v>
      </c>
      <c r="F161" s="30" t="s">
        <v>612</v>
      </c>
      <c r="G161" s="30" t="s">
        <v>612</v>
      </c>
      <c r="H161" s="29">
        <v>774.11666100000002</v>
      </c>
      <c r="I161" s="31">
        <v>46.1</v>
      </c>
      <c r="J161" s="31">
        <v>0</v>
      </c>
      <c r="K161" s="31">
        <v>0</v>
      </c>
      <c r="L161" s="32">
        <v>820.21666100000004</v>
      </c>
      <c r="M161" s="29">
        <v>27.5</v>
      </c>
      <c r="N161" s="31">
        <v>24</v>
      </c>
      <c r="O161" s="31">
        <v>0</v>
      </c>
      <c r="P161" s="31">
        <v>0</v>
      </c>
      <c r="Q161" s="31">
        <v>51.5</v>
      </c>
      <c r="R161" s="65">
        <v>871.71666100000004</v>
      </c>
      <c r="S161" s="58"/>
      <c r="T161" s="61"/>
    </row>
    <row r="162" spans="1:20" x14ac:dyDescent="0.25">
      <c r="A162" s="64" t="s">
        <v>717</v>
      </c>
      <c r="B162" s="58"/>
      <c r="C162" s="58"/>
      <c r="D162" s="58"/>
      <c r="E162" s="29">
        <v>826.35000200000002</v>
      </c>
      <c r="F162" s="30" t="s">
        <v>612</v>
      </c>
      <c r="G162" s="30" t="s">
        <v>612</v>
      </c>
      <c r="H162" s="29">
        <v>744.15000199999997</v>
      </c>
      <c r="I162" s="31">
        <v>31.2</v>
      </c>
      <c r="J162" s="31">
        <v>0</v>
      </c>
      <c r="K162" s="31">
        <v>0</v>
      </c>
      <c r="L162" s="32">
        <v>775.35000200000002</v>
      </c>
      <c r="M162" s="29">
        <v>27</v>
      </c>
      <c r="N162" s="31">
        <v>24</v>
      </c>
      <c r="O162" s="31">
        <v>0</v>
      </c>
      <c r="P162" s="31">
        <v>0</v>
      </c>
      <c r="Q162" s="31">
        <v>51</v>
      </c>
      <c r="R162" s="65">
        <v>826.35000200000002</v>
      </c>
      <c r="S162" s="58"/>
      <c r="T162" s="61"/>
    </row>
    <row r="163" spans="1:20" x14ac:dyDescent="0.25">
      <c r="A163" s="64" t="s">
        <v>718</v>
      </c>
      <c r="B163" s="58"/>
      <c r="C163" s="58"/>
      <c r="D163" s="58"/>
      <c r="E163" s="29">
        <v>89.816668000000007</v>
      </c>
      <c r="F163" s="30" t="s">
        <v>612</v>
      </c>
      <c r="G163" s="30" t="s">
        <v>612</v>
      </c>
      <c r="H163" s="29">
        <v>89.816668000000007</v>
      </c>
      <c r="I163" s="31">
        <v>0</v>
      </c>
      <c r="J163" s="31">
        <v>0</v>
      </c>
      <c r="K163" s="31">
        <v>0</v>
      </c>
      <c r="L163" s="32">
        <v>89.816668000000007</v>
      </c>
      <c r="M163" s="29">
        <v>0</v>
      </c>
      <c r="N163" s="31">
        <v>0</v>
      </c>
      <c r="O163" s="31">
        <v>0</v>
      </c>
      <c r="P163" s="31">
        <v>0</v>
      </c>
      <c r="Q163" s="31">
        <v>0</v>
      </c>
      <c r="R163" s="65">
        <v>89.816668000000007</v>
      </c>
      <c r="S163" s="58"/>
      <c r="T163" s="61"/>
    </row>
    <row r="164" spans="1:20" x14ac:dyDescent="0.25">
      <c r="A164" s="64" t="s">
        <v>719</v>
      </c>
      <c r="B164" s="58"/>
      <c r="C164" s="58"/>
      <c r="D164" s="58"/>
      <c r="E164" s="29">
        <v>152.283333</v>
      </c>
      <c r="F164" s="30" t="s">
        <v>612</v>
      </c>
      <c r="G164" s="30" t="s">
        <v>612</v>
      </c>
      <c r="H164" s="29">
        <v>83.883332999999993</v>
      </c>
      <c r="I164" s="31">
        <v>0</v>
      </c>
      <c r="J164" s="31">
        <v>0</v>
      </c>
      <c r="K164" s="31">
        <v>0</v>
      </c>
      <c r="L164" s="32">
        <v>83.883332999999993</v>
      </c>
      <c r="M164" s="29">
        <v>0</v>
      </c>
      <c r="N164" s="31">
        <v>8</v>
      </c>
      <c r="O164" s="31">
        <v>60.4</v>
      </c>
      <c r="P164" s="31">
        <v>0</v>
      </c>
      <c r="Q164" s="31">
        <v>68.400000000000006</v>
      </c>
      <c r="R164" s="65">
        <v>152.283333</v>
      </c>
      <c r="S164" s="58"/>
      <c r="T164" s="61"/>
    </row>
    <row r="165" spans="1:20" x14ac:dyDescent="0.25">
      <c r="A165" s="64" t="s">
        <v>668</v>
      </c>
      <c r="B165" s="58"/>
      <c r="C165" s="58"/>
      <c r="D165" s="58"/>
      <c r="E165" s="29">
        <v>138.01666700000001</v>
      </c>
      <c r="F165" s="30" t="s">
        <v>612</v>
      </c>
      <c r="G165" s="30" t="s">
        <v>612</v>
      </c>
      <c r="H165" s="29">
        <v>119.016667</v>
      </c>
      <c r="I165" s="31">
        <v>0</v>
      </c>
      <c r="J165" s="31">
        <v>0</v>
      </c>
      <c r="K165" s="31">
        <v>0</v>
      </c>
      <c r="L165" s="32">
        <v>119.016667</v>
      </c>
      <c r="M165" s="29">
        <v>0</v>
      </c>
      <c r="N165" s="31">
        <v>0</v>
      </c>
      <c r="O165" s="31">
        <v>0</v>
      </c>
      <c r="P165" s="31">
        <v>19</v>
      </c>
      <c r="Q165" s="31">
        <v>19</v>
      </c>
      <c r="R165" s="65">
        <v>138.01666700000001</v>
      </c>
      <c r="S165" s="58"/>
      <c r="T165" s="61"/>
    </row>
    <row r="166" spans="1:20" x14ac:dyDescent="0.25">
      <c r="A166" s="62" t="s">
        <v>674</v>
      </c>
      <c r="B166" s="58"/>
      <c r="C166" s="58"/>
      <c r="D166" s="58"/>
      <c r="E166" s="23" t="s">
        <v>612</v>
      </c>
      <c r="F166" s="24" t="s">
        <v>612</v>
      </c>
      <c r="G166" s="24" t="s">
        <v>612</v>
      </c>
      <c r="H166" s="23" t="s">
        <v>612</v>
      </c>
      <c r="I166" s="24" t="s">
        <v>612</v>
      </c>
      <c r="J166" s="24" t="s">
        <v>612</v>
      </c>
      <c r="K166" s="24" t="s">
        <v>612</v>
      </c>
      <c r="L166" s="25" t="s">
        <v>612</v>
      </c>
      <c r="M166" s="26" t="s">
        <v>612</v>
      </c>
      <c r="N166" s="27" t="s">
        <v>612</v>
      </c>
      <c r="O166" s="27" t="s">
        <v>612</v>
      </c>
      <c r="P166" s="27" t="s">
        <v>612</v>
      </c>
      <c r="Q166" s="28" t="s">
        <v>612</v>
      </c>
      <c r="R166" s="63" t="s">
        <v>612</v>
      </c>
      <c r="S166" s="58"/>
      <c r="T166" s="61"/>
    </row>
    <row r="167" spans="1:20" x14ac:dyDescent="0.25">
      <c r="A167" s="64" t="s">
        <v>720</v>
      </c>
      <c r="B167" s="58"/>
      <c r="C167" s="58"/>
      <c r="D167" s="58"/>
      <c r="E167" s="29">
        <v>457.15</v>
      </c>
      <c r="F167" s="30" t="s">
        <v>612</v>
      </c>
      <c r="G167" s="30" t="s">
        <v>612</v>
      </c>
      <c r="H167" s="29">
        <v>376.96666699999997</v>
      </c>
      <c r="I167" s="31">
        <v>0</v>
      </c>
      <c r="J167" s="31">
        <v>0</v>
      </c>
      <c r="K167" s="31">
        <v>0</v>
      </c>
      <c r="L167" s="32">
        <v>376.96666699999997</v>
      </c>
      <c r="M167" s="29">
        <v>8</v>
      </c>
      <c r="N167" s="31">
        <v>24</v>
      </c>
      <c r="O167" s="31">
        <v>48.183332999999998</v>
      </c>
      <c r="P167" s="31">
        <v>0</v>
      </c>
      <c r="Q167" s="31">
        <v>80.183333000000005</v>
      </c>
      <c r="R167" s="65">
        <v>457.15</v>
      </c>
      <c r="S167" s="58"/>
      <c r="T167" s="61"/>
    </row>
    <row r="168" spans="1:20" x14ac:dyDescent="0.25">
      <c r="A168" s="64" t="s">
        <v>668</v>
      </c>
      <c r="B168" s="58"/>
      <c r="C168" s="58"/>
      <c r="D168" s="58"/>
      <c r="E168" s="29">
        <v>235.31666899999999</v>
      </c>
      <c r="F168" s="30" t="s">
        <v>612</v>
      </c>
      <c r="G168" s="30" t="s">
        <v>612</v>
      </c>
      <c r="H168" s="29">
        <v>225.81666899999999</v>
      </c>
      <c r="I168" s="31">
        <v>0</v>
      </c>
      <c r="J168" s="31">
        <v>0</v>
      </c>
      <c r="K168" s="31">
        <v>0</v>
      </c>
      <c r="L168" s="32">
        <v>225.81666899999999</v>
      </c>
      <c r="M168" s="29">
        <v>0</v>
      </c>
      <c r="N168" s="31">
        <v>8</v>
      </c>
      <c r="O168" s="31">
        <v>1.5</v>
      </c>
      <c r="P168" s="31">
        <v>0</v>
      </c>
      <c r="Q168" s="31">
        <v>9.5</v>
      </c>
      <c r="R168" s="65">
        <v>235.31666899999999</v>
      </c>
      <c r="S168" s="58"/>
      <c r="T168" s="61"/>
    </row>
    <row r="169" spans="1:20" x14ac:dyDescent="0.25">
      <c r="A169" s="62" t="s">
        <v>634</v>
      </c>
      <c r="B169" s="58"/>
      <c r="C169" s="58"/>
      <c r="D169" s="58"/>
      <c r="E169" s="23" t="s">
        <v>612</v>
      </c>
      <c r="F169" s="24" t="s">
        <v>612</v>
      </c>
      <c r="G169" s="24" t="s">
        <v>612</v>
      </c>
      <c r="H169" s="23" t="s">
        <v>612</v>
      </c>
      <c r="I169" s="24" t="s">
        <v>612</v>
      </c>
      <c r="J169" s="24" t="s">
        <v>612</v>
      </c>
      <c r="K169" s="24" t="s">
        <v>612</v>
      </c>
      <c r="L169" s="25" t="s">
        <v>612</v>
      </c>
      <c r="M169" s="26" t="s">
        <v>612</v>
      </c>
      <c r="N169" s="27" t="s">
        <v>612</v>
      </c>
      <c r="O169" s="27" t="s">
        <v>612</v>
      </c>
      <c r="P169" s="27" t="s">
        <v>612</v>
      </c>
      <c r="Q169" s="28" t="s">
        <v>612</v>
      </c>
      <c r="R169" s="63" t="s">
        <v>612</v>
      </c>
      <c r="S169" s="58"/>
      <c r="T169" s="61"/>
    </row>
    <row r="170" spans="1:20" x14ac:dyDescent="0.25">
      <c r="A170" s="64" t="s">
        <v>668</v>
      </c>
      <c r="B170" s="58"/>
      <c r="C170" s="58"/>
      <c r="D170" s="58"/>
      <c r="E170" s="29">
        <v>9.1333339999999996</v>
      </c>
      <c r="F170" s="30" t="s">
        <v>612</v>
      </c>
      <c r="G170" s="30" t="s">
        <v>612</v>
      </c>
      <c r="H170" s="29">
        <v>9.1333339999999996</v>
      </c>
      <c r="I170" s="31">
        <v>0</v>
      </c>
      <c r="J170" s="31">
        <v>0</v>
      </c>
      <c r="K170" s="31">
        <v>0</v>
      </c>
      <c r="L170" s="32">
        <v>9.1333339999999996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65">
        <v>9.1333339999999996</v>
      </c>
      <c r="S170" s="58"/>
      <c r="T170" s="61"/>
    </row>
    <row r="171" spans="1:20" x14ac:dyDescent="0.25">
      <c r="A171" s="70" t="s">
        <v>721</v>
      </c>
      <c r="B171" s="58"/>
      <c r="C171" s="58"/>
      <c r="D171" s="58"/>
      <c r="E171" s="33">
        <v>3613.216664</v>
      </c>
      <c r="F171" s="34">
        <v>3528</v>
      </c>
      <c r="G171" s="34">
        <v>85.216663999999994</v>
      </c>
      <c r="H171" s="33">
        <v>3216.649997</v>
      </c>
      <c r="I171" s="35">
        <v>92.983333999999999</v>
      </c>
      <c r="J171" s="35">
        <v>0</v>
      </c>
      <c r="K171" s="35">
        <v>0</v>
      </c>
      <c r="L171" s="36">
        <v>3309.633331</v>
      </c>
      <c r="M171" s="33">
        <v>62.5</v>
      </c>
      <c r="N171" s="37">
        <v>112</v>
      </c>
      <c r="O171" s="35">
        <v>110.083333</v>
      </c>
      <c r="P171" s="35">
        <v>19</v>
      </c>
      <c r="Q171" s="35">
        <v>303.58333299999998</v>
      </c>
      <c r="R171" s="71">
        <v>3613.216664</v>
      </c>
      <c r="S171" s="58"/>
      <c r="T171" s="61"/>
    </row>
    <row r="172" spans="1:20" x14ac:dyDescent="0.25">
      <c r="A172" s="59" t="s">
        <v>722</v>
      </c>
      <c r="B172" s="58"/>
      <c r="C172" s="58"/>
      <c r="D172" s="58"/>
      <c r="E172" s="20" t="s">
        <v>612</v>
      </c>
      <c r="F172" s="21" t="s">
        <v>612</v>
      </c>
      <c r="G172" s="21" t="s">
        <v>612</v>
      </c>
      <c r="H172" s="20" t="s">
        <v>612</v>
      </c>
      <c r="I172" s="21" t="s">
        <v>612</v>
      </c>
      <c r="J172" s="21" t="s">
        <v>612</v>
      </c>
      <c r="K172" s="21" t="s">
        <v>612</v>
      </c>
      <c r="L172" s="22" t="s">
        <v>612</v>
      </c>
      <c r="M172" s="20" t="s">
        <v>612</v>
      </c>
      <c r="N172" s="21" t="s">
        <v>612</v>
      </c>
      <c r="O172" s="21" t="s">
        <v>612</v>
      </c>
      <c r="P172" s="21" t="s">
        <v>612</v>
      </c>
      <c r="Q172" s="22" t="s">
        <v>612</v>
      </c>
      <c r="R172" s="60" t="s">
        <v>612</v>
      </c>
      <c r="S172" s="58"/>
      <c r="T172" s="61"/>
    </row>
    <row r="173" spans="1:20" x14ac:dyDescent="0.25">
      <c r="A173" s="62" t="s">
        <v>613</v>
      </c>
      <c r="B173" s="58"/>
      <c r="C173" s="58"/>
      <c r="D173" s="58"/>
      <c r="E173" s="23" t="s">
        <v>612</v>
      </c>
      <c r="F173" s="24" t="s">
        <v>612</v>
      </c>
      <c r="G173" s="24" t="s">
        <v>612</v>
      </c>
      <c r="H173" s="23" t="s">
        <v>612</v>
      </c>
      <c r="I173" s="24" t="s">
        <v>612</v>
      </c>
      <c r="J173" s="24" t="s">
        <v>612</v>
      </c>
      <c r="K173" s="24" t="s">
        <v>612</v>
      </c>
      <c r="L173" s="25" t="s">
        <v>612</v>
      </c>
      <c r="M173" s="26" t="s">
        <v>612</v>
      </c>
      <c r="N173" s="27" t="s">
        <v>612</v>
      </c>
      <c r="O173" s="27" t="s">
        <v>612</v>
      </c>
      <c r="P173" s="27" t="s">
        <v>612</v>
      </c>
      <c r="Q173" s="28" t="s">
        <v>612</v>
      </c>
      <c r="R173" s="63" t="s">
        <v>612</v>
      </c>
      <c r="S173" s="58"/>
      <c r="T173" s="61"/>
    </row>
    <row r="174" spans="1:20" x14ac:dyDescent="0.25">
      <c r="A174" s="64" t="s">
        <v>693</v>
      </c>
      <c r="B174" s="58"/>
      <c r="C174" s="58"/>
      <c r="D174" s="58"/>
      <c r="E174" s="29">
        <v>6</v>
      </c>
      <c r="F174" s="30" t="s">
        <v>612</v>
      </c>
      <c r="G174" s="30" t="s">
        <v>612</v>
      </c>
      <c r="H174" s="29">
        <v>0</v>
      </c>
      <c r="I174" s="31">
        <v>6</v>
      </c>
      <c r="J174" s="31">
        <v>0</v>
      </c>
      <c r="K174" s="31">
        <v>0</v>
      </c>
      <c r="L174" s="32">
        <v>6</v>
      </c>
      <c r="M174" s="29">
        <v>0</v>
      </c>
      <c r="N174" s="31">
        <v>0</v>
      </c>
      <c r="O174" s="31">
        <v>0</v>
      </c>
      <c r="P174" s="31">
        <v>0</v>
      </c>
      <c r="Q174" s="31">
        <v>0</v>
      </c>
      <c r="R174" s="65">
        <v>6</v>
      </c>
      <c r="S174" s="58"/>
      <c r="T174" s="61"/>
    </row>
    <row r="175" spans="1:20" x14ac:dyDescent="0.25">
      <c r="A175" s="64" t="s">
        <v>723</v>
      </c>
      <c r="B175" s="58"/>
      <c r="C175" s="58"/>
      <c r="D175" s="58"/>
      <c r="E175" s="29">
        <v>884.08333100000004</v>
      </c>
      <c r="F175" s="30" t="s">
        <v>612</v>
      </c>
      <c r="G175" s="30" t="s">
        <v>612</v>
      </c>
      <c r="H175" s="29">
        <v>812.08333100000004</v>
      </c>
      <c r="I175" s="31">
        <v>0</v>
      </c>
      <c r="J175" s="31">
        <v>0</v>
      </c>
      <c r="K175" s="31">
        <v>0</v>
      </c>
      <c r="L175" s="32">
        <v>812.08333100000004</v>
      </c>
      <c r="M175" s="29">
        <v>48</v>
      </c>
      <c r="N175" s="31">
        <v>24</v>
      </c>
      <c r="O175" s="31">
        <v>0</v>
      </c>
      <c r="P175" s="31">
        <v>0</v>
      </c>
      <c r="Q175" s="31">
        <v>72</v>
      </c>
      <c r="R175" s="65">
        <v>884.08333100000004</v>
      </c>
      <c r="S175" s="58"/>
      <c r="T175" s="61"/>
    </row>
    <row r="176" spans="1:20" x14ac:dyDescent="0.25">
      <c r="A176" s="70" t="s">
        <v>724</v>
      </c>
      <c r="B176" s="58"/>
      <c r="C176" s="58"/>
      <c r="D176" s="58"/>
      <c r="E176" s="33">
        <v>890.08333100000004</v>
      </c>
      <c r="F176" s="34">
        <v>840</v>
      </c>
      <c r="G176" s="34">
        <v>50.083331000000001</v>
      </c>
      <c r="H176" s="33">
        <v>812.08333100000004</v>
      </c>
      <c r="I176" s="35">
        <v>6</v>
      </c>
      <c r="J176" s="35">
        <v>0</v>
      </c>
      <c r="K176" s="35">
        <v>0</v>
      </c>
      <c r="L176" s="36">
        <v>818.08333100000004</v>
      </c>
      <c r="M176" s="33">
        <v>48</v>
      </c>
      <c r="N176" s="37">
        <v>24</v>
      </c>
      <c r="O176" s="35">
        <v>0</v>
      </c>
      <c r="P176" s="35">
        <v>0</v>
      </c>
      <c r="Q176" s="35">
        <v>72</v>
      </c>
      <c r="R176" s="71">
        <v>890.08333100000004</v>
      </c>
      <c r="S176" s="58"/>
      <c r="T176" s="61"/>
    </row>
    <row r="177" spans="1:20" x14ac:dyDescent="0.25">
      <c r="A177" s="59" t="s">
        <v>725</v>
      </c>
      <c r="B177" s="58"/>
      <c r="C177" s="58"/>
      <c r="D177" s="58"/>
      <c r="E177" s="20" t="s">
        <v>612</v>
      </c>
      <c r="F177" s="21" t="s">
        <v>612</v>
      </c>
      <c r="G177" s="21" t="s">
        <v>612</v>
      </c>
      <c r="H177" s="20" t="s">
        <v>612</v>
      </c>
      <c r="I177" s="21" t="s">
        <v>612</v>
      </c>
      <c r="J177" s="21" t="s">
        <v>612</v>
      </c>
      <c r="K177" s="21" t="s">
        <v>612</v>
      </c>
      <c r="L177" s="22" t="s">
        <v>612</v>
      </c>
      <c r="M177" s="20" t="s">
        <v>612</v>
      </c>
      <c r="N177" s="21" t="s">
        <v>612</v>
      </c>
      <c r="O177" s="21" t="s">
        <v>612</v>
      </c>
      <c r="P177" s="21" t="s">
        <v>612</v>
      </c>
      <c r="Q177" s="22" t="s">
        <v>612</v>
      </c>
      <c r="R177" s="60" t="s">
        <v>612</v>
      </c>
      <c r="S177" s="58"/>
      <c r="T177" s="61"/>
    </row>
    <row r="178" spans="1:20" x14ac:dyDescent="0.25">
      <c r="A178" s="62" t="s">
        <v>613</v>
      </c>
      <c r="B178" s="58"/>
      <c r="C178" s="58"/>
      <c r="D178" s="58"/>
      <c r="E178" s="23" t="s">
        <v>612</v>
      </c>
      <c r="F178" s="24" t="s">
        <v>612</v>
      </c>
      <c r="G178" s="24" t="s">
        <v>612</v>
      </c>
      <c r="H178" s="23" t="s">
        <v>612</v>
      </c>
      <c r="I178" s="24" t="s">
        <v>612</v>
      </c>
      <c r="J178" s="24" t="s">
        <v>612</v>
      </c>
      <c r="K178" s="24" t="s">
        <v>612</v>
      </c>
      <c r="L178" s="25" t="s">
        <v>612</v>
      </c>
      <c r="M178" s="26" t="s">
        <v>612</v>
      </c>
      <c r="N178" s="27" t="s">
        <v>612</v>
      </c>
      <c r="O178" s="27" t="s">
        <v>612</v>
      </c>
      <c r="P178" s="27" t="s">
        <v>612</v>
      </c>
      <c r="Q178" s="28" t="s">
        <v>612</v>
      </c>
      <c r="R178" s="63" t="s">
        <v>612</v>
      </c>
      <c r="S178" s="58"/>
      <c r="T178" s="61"/>
    </row>
    <row r="179" spans="1:20" x14ac:dyDescent="0.25">
      <c r="A179" s="64" t="s">
        <v>726</v>
      </c>
      <c r="B179" s="58"/>
      <c r="C179" s="58"/>
      <c r="D179" s="58"/>
      <c r="E179" s="29">
        <v>49.583333000000003</v>
      </c>
      <c r="F179" s="30" t="s">
        <v>612</v>
      </c>
      <c r="G179" s="30" t="s">
        <v>612</v>
      </c>
      <c r="H179" s="29">
        <v>57.583333000000003</v>
      </c>
      <c r="I179" s="31">
        <v>0</v>
      </c>
      <c r="J179" s="31">
        <v>0</v>
      </c>
      <c r="K179" s="31">
        <v>0</v>
      </c>
      <c r="L179" s="32">
        <v>57.583333000000003</v>
      </c>
      <c r="M179" s="29">
        <v>0</v>
      </c>
      <c r="N179" s="31">
        <v>-8</v>
      </c>
      <c r="O179" s="31">
        <v>0</v>
      </c>
      <c r="P179" s="31">
        <v>0</v>
      </c>
      <c r="Q179" s="31">
        <v>-8</v>
      </c>
      <c r="R179" s="65">
        <v>49.583333000000003</v>
      </c>
      <c r="S179" s="58"/>
      <c r="T179" s="61"/>
    </row>
    <row r="180" spans="1:20" x14ac:dyDescent="0.25">
      <c r="A180" s="64" t="s">
        <v>621</v>
      </c>
      <c r="B180" s="58"/>
      <c r="C180" s="58"/>
      <c r="D180" s="58"/>
      <c r="E180" s="29">
        <v>69.883332999999993</v>
      </c>
      <c r="F180" s="30" t="s">
        <v>612</v>
      </c>
      <c r="G180" s="30" t="s">
        <v>612</v>
      </c>
      <c r="H180" s="29">
        <v>45.383333</v>
      </c>
      <c r="I180" s="31">
        <v>8.5</v>
      </c>
      <c r="J180" s="31">
        <v>0</v>
      </c>
      <c r="K180" s="31">
        <v>0</v>
      </c>
      <c r="L180" s="32">
        <v>53.883333</v>
      </c>
      <c r="M180" s="29">
        <v>0</v>
      </c>
      <c r="N180" s="31">
        <v>16</v>
      </c>
      <c r="O180" s="31">
        <v>0</v>
      </c>
      <c r="P180" s="31">
        <v>0</v>
      </c>
      <c r="Q180" s="31">
        <v>16</v>
      </c>
      <c r="R180" s="65">
        <v>69.883332999999993</v>
      </c>
      <c r="S180" s="58"/>
      <c r="T180" s="61"/>
    </row>
    <row r="181" spans="1:20" x14ac:dyDescent="0.25">
      <c r="A181" s="64" t="s">
        <v>727</v>
      </c>
      <c r="B181" s="58"/>
      <c r="C181" s="58"/>
      <c r="D181" s="58"/>
      <c r="E181" s="29">
        <v>147.41666900000001</v>
      </c>
      <c r="F181" s="30" t="s">
        <v>612</v>
      </c>
      <c r="G181" s="30" t="s">
        <v>612</v>
      </c>
      <c r="H181" s="29">
        <v>136.550003</v>
      </c>
      <c r="I181" s="31">
        <v>2.8666659999999999</v>
      </c>
      <c r="J181" s="31">
        <v>0</v>
      </c>
      <c r="K181" s="31">
        <v>0</v>
      </c>
      <c r="L181" s="32">
        <v>139.41666900000001</v>
      </c>
      <c r="M181" s="29">
        <v>0</v>
      </c>
      <c r="N181" s="31">
        <v>8</v>
      </c>
      <c r="O181" s="31">
        <v>0</v>
      </c>
      <c r="P181" s="31">
        <v>0</v>
      </c>
      <c r="Q181" s="31">
        <v>8</v>
      </c>
      <c r="R181" s="65">
        <v>147.41666900000001</v>
      </c>
      <c r="S181" s="58"/>
      <c r="T181" s="61"/>
    </row>
    <row r="182" spans="1:20" x14ac:dyDescent="0.25">
      <c r="A182" s="64" t="s">
        <v>728</v>
      </c>
      <c r="B182" s="58"/>
      <c r="C182" s="58"/>
      <c r="D182" s="58"/>
      <c r="E182" s="29">
        <v>21.333333</v>
      </c>
      <c r="F182" s="30" t="s">
        <v>612</v>
      </c>
      <c r="G182" s="30" t="s">
        <v>612</v>
      </c>
      <c r="H182" s="29">
        <v>19.25</v>
      </c>
      <c r="I182" s="31">
        <v>2.0833330000000001</v>
      </c>
      <c r="J182" s="31">
        <v>0</v>
      </c>
      <c r="K182" s="31">
        <v>0</v>
      </c>
      <c r="L182" s="32">
        <v>21.333333</v>
      </c>
      <c r="M182" s="29">
        <v>0</v>
      </c>
      <c r="N182" s="31">
        <v>0</v>
      </c>
      <c r="O182" s="31">
        <v>0</v>
      </c>
      <c r="P182" s="31">
        <v>0</v>
      </c>
      <c r="Q182" s="31">
        <v>0</v>
      </c>
      <c r="R182" s="65">
        <v>21.333333</v>
      </c>
      <c r="S182" s="58"/>
      <c r="T182" s="61"/>
    </row>
    <row r="183" spans="1:20" x14ac:dyDescent="0.25">
      <c r="A183" s="64" t="s">
        <v>729</v>
      </c>
      <c r="B183" s="58"/>
      <c r="C183" s="58"/>
      <c r="D183" s="58"/>
      <c r="E183" s="29">
        <v>611.29999599999996</v>
      </c>
      <c r="F183" s="30" t="s">
        <v>612</v>
      </c>
      <c r="G183" s="30" t="s">
        <v>612</v>
      </c>
      <c r="H183" s="29">
        <v>505.83332999999999</v>
      </c>
      <c r="I183" s="31">
        <v>11.583332</v>
      </c>
      <c r="J183" s="31">
        <v>0</v>
      </c>
      <c r="K183" s="31">
        <v>0</v>
      </c>
      <c r="L183" s="32">
        <v>517.41666199999997</v>
      </c>
      <c r="M183" s="29">
        <v>10.5</v>
      </c>
      <c r="N183" s="31">
        <v>16</v>
      </c>
      <c r="O183" s="31">
        <v>67.383334000000005</v>
      </c>
      <c r="P183" s="31">
        <v>0</v>
      </c>
      <c r="Q183" s="31">
        <v>93.883334000000005</v>
      </c>
      <c r="R183" s="65">
        <v>611.29999599999996</v>
      </c>
      <c r="S183" s="58"/>
      <c r="T183" s="61"/>
    </row>
    <row r="184" spans="1:20" x14ac:dyDescent="0.25">
      <c r="A184" s="64" t="s">
        <v>622</v>
      </c>
      <c r="B184" s="58"/>
      <c r="C184" s="58"/>
      <c r="D184" s="58"/>
      <c r="E184" s="29">
        <v>52.2</v>
      </c>
      <c r="F184" s="30" t="s">
        <v>612</v>
      </c>
      <c r="G184" s="30" t="s">
        <v>612</v>
      </c>
      <c r="H184" s="29">
        <v>11</v>
      </c>
      <c r="I184" s="31">
        <v>0</v>
      </c>
      <c r="J184" s="31">
        <v>0</v>
      </c>
      <c r="K184" s="31">
        <v>0</v>
      </c>
      <c r="L184" s="32">
        <v>11</v>
      </c>
      <c r="M184" s="29">
        <v>33.200000000000003</v>
      </c>
      <c r="N184" s="31">
        <v>8</v>
      </c>
      <c r="O184" s="31">
        <v>0</v>
      </c>
      <c r="P184" s="31">
        <v>0</v>
      </c>
      <c r="Q184" s="31">
        <v>41.2</v>
      </c>
      <c r="R184" s="65">
        <v>52.2</v>
      </c>
      <c r="S184" s="58"/>
      <c r="T184" s="61"/>
    </row>
    <row r="185" spans="1:20" x14ac:dyDescent="0.25">
      <c r="A185" s="64" t="s">
        <v>693</v>
      </c>
      <c r="B185" s="58"/>
      <c r="C185" s="58"/>
      <c r="D185" s="58"/>
      <c r="E185" s="29">
        <v>130.5</v>
      </c>
      <c r="F185" s="30" t="s">
        <v>612</v>
      </c>
      <c r="G185" s="30" t="s">
        <v>612</v>
      </c>
      <c r="H185" s="29">
        <v>71.25</v>
      </c>
      <c r="I185" s="31">
        <v>37.75</v>
      </c>
      <c r="J185" s="31">
        <v>0</v>
      </c>
      <c r="K185" s="31">
        <v>0</v>
      </c>
      <c r="L185" s="32">
        <v>109</v>
      </c>
      <c r="M185" s="29">
        <v>0</v>
      </c>
      <c r="N185" s="31">
        <v>0</v>
      </c>
      <c r="O185" s="31">
        <v>0</v>
      </c>
      <c r="P185" s="31">
        <v>21.5</v>
      </c>
      <c r="Q185" s="31">
        <v>21.5</v>
      </c>
      <c r="R185" s="65">
        <v>130.5</v>
      </c>
      <c r="S185" s="58"/>
      <c r="T185" s="61"/>
    </row>
    <row r="186" spans="1:20" x14ac:dyDescent="0.25">
      <c r="A186" s="64" t="s">
        <v>730</v>
      </c>
      <c r="B186" s="58"/>
      <c r="C186" s="58"/>
      <c r="D186" s="58"/>
      <c r="E186" s="29">
        <v>11.316667000000001</v>
      </c>
      <c r="F186" s="30" t="s">
        <v>612</v>
      </c>
      <c r="G186" s="30" t="s">
        <v>612</v>
      </c>
      <c r="H186" s="29">
        <v>5.3333339999999998</v>
      </c>
      <c r="I186" s="31">
        <v>5.983333</v>
      </c>
      <c r="J186" s="31">
        <v>0</v>
      </c>
      <c r="K186" s="31">
        <v>0</v>
      </c>
      <c r="L186" s="32">
        <v>11.316667000000001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65">
        <v>11.316667000000001</v>
      </c>
      <c r="S186" s="58"/>
      <c r="T186" s="61"/>
    </row>
    <row r="187" spans="1:20" x14ac:dyDescent="0.25">
      <c r="A187" s="64" t="s">
        <v>731</v>
      </c>
      <c r="B187" s="58"/>
      <c r="C187" s="58"/>
      <c r="D187" s="58"/>
      <c r="E187" s="29">
        <v>147.25</v>
      </c>
      <c r="F187" s="30" t="s">
        <v>612</v>
      </c>
      <c r="G187" s="30" t="s">
        <v>612</v>
      </c>
      <c r="H187" s="29">
        <v>138.91666699999999</v>
      </c>
      <c r="I187" s="31">
        <v>0.33333299999999999</v>
      </c>
      <c r="J187" s="31">
        <v>0</v>
      </c>
      <c r="K187" s="31">
        <v>0</v>
      </c>
      <c r="L187" s="32">
        <v>139.25</v>
      </c>
      <c r="M187" s="29">
        <v>0</v>
      </c>
      <c r="N187" s="31">
        <v>8</v>
      </c>
      <c r="O187" s="31">
        <v>0</v>
      </c>
      <c r="P187" s="31">
        <v>0</v>
      </c>
      <c r="Q187" s="31">
        <v>8</v>
      </c>
      <c r="R187" s="65">
        <v>147.25</v>
      </c>
      <c r="S187" s="58"/>
      <c r="T187" s="61"/>
    </row>
    <row r="188" spans="1:20" x14ac:dyDescent="0.25">
      <c r="A188" s="64" t="s">
        <v>732</v>
      </c>
      <c r="B188" s="58"/>
      <c r="C188" s="58"/>
      <c r="D188" s="58"/>
      <c r="E188" s="29">
        <v>82.866665999999995</v>
      </c>
      <c r="F188" s="30" t="s">
        <v>612</v>
      </c>
      <c r="G188" s="30" t="s">
        <v>612</v>
      </c>
      <c r="H188" s="29">
        <v>80.249999000000003</v>
      </c>
      <c r="I188" s="31">
        <v>2.6166670000000001</v>
      </c>
      <c r="J188" s="31">
        <v>0</v>
      </c>
      <c r="K188" s="31">
        <v>0</v>
      </c>
      <c r="L188" s="32">
        <v>82.866665999999995</v>
      </c>
      <c r="M188" s="29">
        <v>0</v>
      </c>
      <c r="N188" s="31">
        <v>0</v>
      </c>
      <c r="O188" s="31">
        <v>0</v>
      </c>
      <c r="P188" s="31">
        <v>0</v>
      </c>
      <c r="Q188" s="31">
        <v>0</v>
      </c>
      <c r="R188" s="65">
        <v>82.866665999999995</v>
      </c>
      <c r="S188" s="58"/>
      <c r="T188" s="61"/>
    </row>
    <row r="189" spans="1:20" x14ac:dyDescent="0.25">
      <c r="A189" s="64" t="s">
        <v>733</v>
      </c>
      <c r="B189" s="58"/>
      <c r="C189" s="58"/>
      <c r="D189" s="58"/>
      <c r="E189" s="29">
        <v>65.816665999999998</v>
      </c>
      <c r="F189" s="30" t="s">
        <v>612</v>
      </c>
      <c r="G189" s="30" t="s">
        <v>612</v>
      </c>
      <c r="H189" s="29">
        <v>24.083333</v>
      </c>
      <c r="I189" s="31">
        <v>17.733332999999998</v>
      </c>
      <c r="J189" s="31">
        <v>0</v>
      </c>
      <c r="K189" s="31">
        <v>0</v>
      </c>
      <c r="L189" s="32">
        <v>41.816665999999998</v>
      </c>
      <c r="M189" s="29">
        <v>0</v>
      </c>
      <c r="N189" s="31">
        <v>0</v>
      </c>
      <c r="O189" s="31">
        <v>0</v>
      </c>
      <c r="P189" s="31">
        <v>24</v>
      </c>
      <c r="Q189" s="31">
        <v>24</v>
      </c>
      <c r="R189" s="65">
        <v>65.816665999999998</v>
      </c>
      <c r="S189" s="58"/>
      <c r="T189" s="61"/>
    </row>
    <row r="190" spans="1:20" x14ac:dyDescent="0.25">
      <c r="A190" s="64" t="s">
        <v>734</v>
      </c>
      <c r="B190" s="58"/>
      <c r="C190" s="58"/>
      <c r="D190" s="58"/>
      <c r="E190" s="29">
        <v>548.5</v>
      </c>
      <c r="F190" s="30" t="s">
        <v>612</v>
      </c>
      <c r="G190" s="30" t="s">
        <v>612</v>
      </c>
      <c r="H190" s="29">
        <v>489.683333</v>
      </c>
      <c r="I190" s="31">
        <v>29.716667000000001</v>
      </c>
      <c r="J190" s="31">
        <v>0</v>
      </c>
      <c r="K190" s="31">
        <v>0</v>
      </c>
      <c r="L190" s="32">
        <v>519.4</v>
      </c>
      <c r="M190" s="29">
        <v>21.1</v>
      </c>
      <c r="N190" s="31">
        <v>8</v>
      </c>
      <c r="O190" s="31">
        <v>0</v>
      </c>
      <c r="P190" s="31">
        <v>0</v>
      </c>
      <c r="Q190" s="31">
        <v>29.1</v>
      </c>
      <c r="R190" s="65">
        <v>548.5</v>
      </c>
      <c r="S190" s="58"/>
      <c r="T190" s="61"/>
    </row>
    <row r="191" spans="1:20" x14ac:dyDescent="0.25">
      <c r="A191" s="64" t="s">
        <v>735</v>
      </c>
      <c r="B191" s="58"/>
      <c r="C191" s="58"/>
      <c r="D191" s="58"/>
      <c r="E191" s="29">
        <v>199.16666499999999</v>
      </c>
      <c r="F191" s="30" t="s">
        <v>612</v>
      </c>
      <c r="G191" s="30" t="s">
        <v>612</v>
      </c>
      <c r="H191" s="29">
        <v>169.099999</v>
      </c>
      <c r="I191" s="31">
        <v>0</v>
      </c>
      <c r="J191" s="31">
        <v>0</v>
      </c>
      <c r="K191" s="31">
        <v>0</v>
      </c>
      <c r="L191" s="32">
        <v>169.099999</v>
      </c>
      <c r="M191" s="29">
        <v>0</v>
      </c>
      <c r="N191" s="31">
        <v>16</v>
      </c>
      <c r="O191" s="31">
        <v>14.066666</v>
      </c>
      <c r="P191" s="31">
        <v>-1.7763568394002501E-15</v>
      </c>
      <c r="Q191" s="31">
        <v>30.066666000000001</v>
      </c>
      <c r="R191" s="65">
        <v>199.16666499999999</v>
      </c>
      <c r="S191" s="58"/>
      <c r="T191" s="61"/>
    </row>
    <row r="192" spans="1:20" x14ac:dyDescent="0.25">
      <c r="A192" s="64" t="s">
        <v>736</v>
      </c>
      <c r="B192" s="58"/>
      <c r="C192" s="58"/>
      <c r="D192" s="58"/>
      <c r="E192" s="29">
        <v>72.316666999999995</v>
      </c>
      <c r="F192" s="30" t="s">
        <v>612</v>
      </c>
      <c r="G192" s="30" t="s">
        <v>612</v>
      </c>
      <c r="H192" s="29">
        <v>72.316666999999995</v>
      </c>
      <c r="I192" s="31">
        <v>0</v>
      </c>
      <c r="J192" s="31">
        <v>0</v>
      </c>
      <c r="K192" s="31">
        <v>0</v>
      </c>
      <c r="L192" s="32">
        <v>72.316666999999995</v>
      </c>
      <c r="M192" s="29">
        <v>0</v>
      </c>
      <c r="N192" s="31">
        <v>0</v>
      </c>
      <c r="O192" s="31">
        <v>0</v>
      </c>
      <c r="P192" s="31">
        <v>0</v>
      </c>
      <c r="Q192" s="31">
        <v>0</v>
      </c>
      <c r="R192" s="65">
        <v>72.316666999999995</v>
      </c>
      <c r="S192" s="58"/>
      <c r="T192" s="61"/>
    </row>
    <row r="193" spans="1:20" x14ac:dyDescent="0.25">
      <c r="A193" s="64" t="s">
        <v>654</v>
      </c>
      <c r="B193" s="58"/>
      <c r="C193" s="58"/>
      <c r="D193" s="58"/>
      <c r="E193" s="29">
        <v>24.35</v>
      </c>
      <c r="F193" s="30" t="s">
        <v>612</v>
      </c>
      <c r="G193" s="30" t="s">
        <v>612</v>
      </c>
      <c r="H193" s="29">
        <v>0</v>
      </c>
      <c r="I193" s="31">
        <v>13.083333</v>
      </c>
      <c r="J193" s="31">
        <v>0</v>
      </c>
      <c r="K193" s="31">
        <v>0</v>
      </c>
      <c r="L193" s="32">
        <v>13.083333</v>
      </c>
      <c r="M193" s="29">
        <v>0</v>
      </c>
      <c r="N193" s="31">
        <v>0</v>
      </c>
      <c r="O193" s="31">
        <v>0</v>
      </c>
      <c r="P193" s="31">
        <v>11.266667</v>
      </c>
      <c r="Q193" s="31">
        <v>11.266667</v>
      </c>
      <c r="R193" s="65">
        <v>24.35</v>
      </c>
      <c r="S193" s="58"/>
      <c r="T193" s="61"/>
    </row>
    <row r="194" spans="1:20" x14ac:dyDescent="0.25">
      <c r="A194" s="64" t="s">
        <v>737</v>
      </c>
      <c r="B194" s="58"/>
      <c r="C194" s="58"/>
      <c r="D194" s="58"/>
      <c r="E194" s="29">
        <v>973.06666600000005</v>
      </c>
      <c r="F194" s="30" t="s">
        <v>612</v>
      </c>
      <c r="G194" s="30" t="s">
        <v>612</v>
      </c>
      <c r="H194" s="29">
        <v>872.24999800000001</v>
      </c>
      <c r="I194" s="31">
        <v>65.816668000000007</v>
      </c>
      <c r="J194" s="31">
        <v>0</v>
      </c>
      <c r="K194" s="31">
        <v>0</v>
      </c>
      <c r="L194" s="32">
        <v>938.06666600000005</v>
      </c>
      <c r="M194" s="29">
        <v>9.5</v>
      </c>
      <c r="N194" s="31">
        <v>24</v>
      </c>
      <c r="O194" s="31">
        <v>1.5</v>
      </c>
      <c r="P194" s="31">
        <v>0</v>
      </c>
      <c r="Q194" s="31">
        <v>35</v>
      </c>
      <c r="R194" s="65">
        <v>973.06666600000005</v>
      </c>
      <c r="S194" s="58"/>
      <c r="T194" s="61"/>
    </row>
    <row r="195" spans="1:20" x14ac:dyDescent="0.25">
      <c r="A195" s="62" t="s">
        <v>634</v>
      </c>
      <c r="B195" s="58"/>
      <c r="C195" s="58"/>
      <c r="D195" s="58"/>
      <c r="E195" s="23" t="s">
        <v>612</v>
      </c>
      <c r="F195" s="24" t="s">
        <v>612</v>
      </c>
      <c r="G195" s="24" t="s">
        <v>612</v>
      </c>
      <c r="H195" s="23" t="s">
        <v>612</v>
      </c>
      <c r="I195" s="24" t="s">
        <v>612</v>
      </c>
      <c r="J195" s="24" t="s">
        <v>612</v>
      </c>
      <c r="K195" s="24" t="s">
        <v>612</v>
      </c>
      <c r="L195" s="25" t="s">
        <v>612</v>
      </c>
      <c r="M195" s="26" t="s">
        <v>612</v>
      </c>
      <c r="N195" s="27" t="s">
        <v>612</v>
      </c>
      <c r="O195" s="27" t="s">
        <v>612</v>
      </c>
      <c r="P195" s="27" t="s">
        <v>612</v>
      </c>
      <c r="Q195" s="28" t="s">
        <v>612</v>
      </c>
      <c r="R195" s="63" t="s">
        <v>612</v>
      </c>
      <c r="S195" s="58"/>
      <c r="T195" s="61"/>
    </row>
    <row r="196" spans="1:20" x14ac:dyDescent="0.25">
      <c r="A196" s="64" t="s">
        <v>738</v>
      </c>
      <c r="B196" s="58"/>
      <c r="C196" s="58"/>
      <c r="D196" s="58"/>
      <c r="E196" s="29">
        <v>122.416667</v>
      </c>
      <c r="F196" s="30" t="s">
        <v>612</v>
      </c>
      <c r="G196" s="30" t="s">
        <v>612</v>
      </c>
      <c r="H196" s="29">
        <v>122.416667</v>
      </c>
      <c r="I196" s="31">
        <v>0</v>
      </c>
      <c r="J196" s="31">
        <v>0</v>
      </c>
      <c r="K196" s="31">
        <v>0</v>
      </c>
      <c r="L196" s="32">
        <v>122.416667</v>
      </c>
      <c r="M196" s="29">
        <v>0</v>
      </c>
      <c r="N196" s="31">
        <v>0</v>
      </c>
      <c r="O196" s="31">
        <v>0</v>
      </c>
      <c r="P196" s="31">
        <v>0</v>
      </c>
      <c r="Q196" s="31">
        <v>0</v>
      </c>
      <c r="R196" s="65">
        <v>122.416667</v>
      </c>
      <c r="S196" s="58"/>
      <c r="T196" s="61"/>
    </row>
    <row r="197" spans="1:20" x14ac:dyDescent="0.25">
      <c r="A197" s="64" t="s">
        <v>739</v>
      </c>
      <c r="B197" s="58"/>
      <c r="C197" s="58"/>
      <c r="D197" s="58"/>
      <c r="E197" s="29">
        <v>339.91666600000002</v>
      </c>
      <c r="F197" s="30" t="s">
        <v>612</v>
      </c>
      <c r="G197" s="30" t="s">
        <v>612</v>
      </c>
      <c r="H197" s="29">
        <v>282.79999800000002</v>
      </c>
      <c r="I197" s="31">
        <v>7.4500010000000003</v>
      </c>
      <c r="J197" s="31">
        <v>0</v>
      </c>
      <c r="K197" s="31">
        <v>0</v>
      </c>
      <c r="L197" s="32">
        <v>290.249999</v>
      </c>
      <c r="M197" s="29">
        <v>0</v>
      </c>
      <c r="N197" s="31">
        <v>16</v>
      </c>
      <c r="O197" s="31">
        <v>33.666666999999997</v>
      </c>
      <c r="P197" s="31">
        <v>0</v>
      </c>
      <c r="Q197" s="31">
        <v>49.666666999999997</v>
      </c>
      <c r="R197" s="65">
        <v>339.91666600000002</v>
      </c>
      <c r="S197" s="58"/>
      <c r="T197" s="61"/>
    </row>
    <row r="198" spans="1:20" x14ac:dyDescent="0.25">
      <c r="A198" s="64" t="s">
        <v>732</v>
      </c>
      <c r="B198" s="58"/>
      <c r="C198" s="58"/>
      <c r="D198" s="58"/>
      <c r="E198" s="29">
        <v>13.1</v>
      </c>
      <c r="F198" s="30" t="s">
        <v>612</v>
      </c>
      <c r="G198" s="30" t="s">
        <v>612</v>
      </c>
      <c r="H198" s="29">
        <v>13.1</v>
      </c>
      <c r="I198" s="31">
        <v>0</v>
      </c>
      <c r="J198" s="31">
        <v>0</v>
      </c>
      <c r="K198" s="31">
        <v>0</v>
      </c>
      <c r="L198" s="32">
        <v>13.1</v>
      </c>
      <c r="M198" s="29">
        <v>0</v>
      </c>
      <c r="N198" s="31">
        <v>0</v>
      </c>
      <c r="O198" s="31">
        <v>0</v>
      </c>
      <c r="P198" s="31">
        <v>0</v>
      </c>
      <c r="Q198" s="31">
        <v>0</v>
      </c>
      <c r="R198" s="65">
        <v>13.1</v>
      </c>
      <c r="S198" s="58"/>
      <c r="T198" s="61"/>
    </row>
    <row r="199" spans="1:20" x14ac:dyDescent="0.25">
      <c r="A199" s="64" t="s">
        <v>740</v>
      </c>
      <c r="B199" s="58"/>
      <c r="C199" s="58"/>
      <c r="D199" s="58"/>
      <c r="E199" s="29">
        <v>61.9</v>
      </c>
      <c r="F199" s="30" t="s">
        <v>612</v>
      </c>
      <c r="G199" s="30" t="s">
        <v>612</v>
      </c>
      <c r="H199" s="29">
        <v>45.983333000000002</v>
      </c>
      <c r="I199" s="31">
        <v>0</v>
      </c>
      <c r="J199" s="31">
        <v>0</v>
      </c>
      <c r="K199" s="31">
        <v>0</v>
      </c>
      <c r="L199" s="32">
        <v>45.983333000000002</v>
      </c>
      <c r="M199" s="29">
        <v>0</v>
      </c>
      <c r="N199" s="31">
        <v>0</v>
      </c>
      <c r="O199" s="31">
        <v>15.916667</v>
      </c>
      <c r="P199" s="31">
        <v>0</v>
      </c>
      <c r="Q199" s="31">
        <v>15.916667</v>
      </c>
      <c r="R199" s="65">
        <v>61.9</v>
      </c>
      <c r="S199" s="58"/>
      <c r="T199" s="61"/>
    </row>
    <row r="200" spans="1:20" x14ac:dyDescent="0.25">
      <c r="A200" s="64" t="s">
        <v>741</v>
      </c>
      <c r="B200" s="58"/>
      <c r="C200" s="58"/>
      <c r="D200" s="58"/>
      <c r="E200" s="29">
        <v>312.96666399999998</v>
      </c>
      <c r="F200" s="30" t="s">
        <v>612</v>
      </c>
      <c r="G200" s="30" t="s">
        <v>612</v>
      </c>
      <c r="H200" s="29">
        <v>312.96666399999998</v>
      </c>
      <c r="I200" s="31">
        <v>0</v>
      </c>
      <c r="J200" s="31">
        <v>0</v>
      </c>
      <c r="K200" s="31">
        <v>0</v>
      </c>
      <c r="L200" s="32">
        <v>312.96666399999998</v>
      </c>
      <c r="M200" s="29">
        <v>0</v>
      </c>
      <c r="N200" s="31">
        <v>0</v>
      </c>
      <c r="O200" s="31">
        <v>0</v>
      </c>
      <c r="P200" s="31">
        <v>0</v>
      </c>
      <c r="Q200" s="31">
        <v>0</v>
      </c>
      <c r="R200" s="65">
        <v>312.96666399999998</v>
      </c>
      <c r="S200" s="58"/>
      <c r="T200" s="61"/>
    </row>
    <row r="201" spans="1:20" x14ac:dyDescent="0.25">
      <c r="A201" s="64" t="s">
        <v>742</v>
      </c>
      <c r="B201" s="58"/>
      <c r="C201" s="58"/>
      <c r="D201" s="58"/>
      <c r="E201" s="29">
        <v>268.21666900000002</v>
      </c>
      <c r="F201" s="30" t="s">
        <v>612</v>
      </c>
      <c r="G201" s="30" t="s">
        <v>612</v>
      </c>
      <c r="H201" s="29">
        <v>256.23333500000001</v>
      </c>
      <c r="I201" s="31">
        <v>7.9833340000000002</v>
      </c>
      <c r="J201" s="31">
        <v>0</v>
      </c>
      <c r="K201" s="31">
        <v>0</v>
      </c>
      <c r="L201" s="32">
        <v>264.21666900000002</v>
      </c>
      <c r="M201" s="29">
        <v>0</v>
      </c>
      <c r="N201" s="31">
        <v>0</v>
      </c>
      <c r="O201" s="31">
        <v>0</v>
      </c>
      <c r="P201" s="31">
        <v>4</v>
      </c>
      <c r="Q201" s="31">
        <v>4</v>
      </c>
      <c r="R201" s="65">
        <v>268.21666900000002</v>
      </c>
      <c r="S201" s="58"/>
      <c r="T201" s="61"/>
    </row>
    <row r="202" spans="1:20" x14ac:dyDescent="0.25">
      <c r="A202" s="70" t="s">
        <v>743</v>
      </c>
      <c r="B202" s="58"/>
      <c r="C202" s="58"/>
      <c r="D202" s="58"/>
      <c r="E202" s="33">
        <v>4325.3833269999996</v>
      </c>
      <c r="F202" s="34">
        <v>5124</v>
      </c>
      <c r="G202" s="34">
        <v>-798.61667299999897</v>
      </c>
      <c r="H202" s="33">
        <v>3732.2833260000002</v>
      </c>
      <c r="I202" s="35">
        <v>213.5</v>
      </c>
      <c r="J202" s="35">
        <v>0</v>
      </c>
      <c r="K202" s="35">
        <v>0</v>
      </c>
      <c r="L202" s="36">
        <v>3945.7833260000002</v>
      </c>
      <c r="M202" s="33">
        <v>74.3</v>
      </c>
      <c r="N202" s="37">
        <v>112</v>
      </c>
      <c r="O202" s="35">
        <v>132.533334</v>
      </c>
      <c r="P202" s="35">
        <v>60.766666999999998</v>
      </c>
      <c r="Q202" s="35">
        <v>379.60000100000002</v>
      </c>
      <c r="R202" s="71">
        <v>4325.3833269999996</v>
      </c>
      <c r="S202" s="58"/>
      <c r="T202" s="61"/>
    </row>
    <row r="203" spans="1:20" x14ac:dyDescent="0.25">
      <c r="A203" s="59" t="s">
        <v>744</v>
      </c>
      <c r="B203" s="58"/>
      <c r="C203" s="58"/>
      <c r="D203" s="58"/>
      <c r="E203" s="20" t="s">
        <v>612</v>
      </c>
      <c r="F203" s="21" t="s">
        <v>612</v>
      </c>
      <c r="G203" s="21" t="s">
        <v>612</v>
      </c>
      <c r="H203" s="20" t="s">
        <v>612</v>
      </c>
      <c r="I203" s="21" t="s">
        <v>612</v>
      </c>
      <c r="J203" s="21" t="s">
        <v>612</v>
      </c>
      <c r="K203" s="21" t="s">
        <v>612</v>
      </c>
      <c r="L203" s="22" t="s">
        <v>612</v>
      </c>
      <c r="M203" s="20" t="s">
        <v>612</v>
      </c>
      <c r="N203" s="21" t="s">
        <v>612</v>
      </c>
      <c r="O203" s="21" t="s">
        <v>612</v>
      </c>
      <c r="P203" s="21" t="s">
        <v>612</v>
      </c>
      <c r="Q203" s="22" t="s">
        <v>612</v>
      </c>
      <c r="R203" s="60" t="s">
        <v>612</v>
      </c>
      <c r="S203" s="58"/>
      <c r="T203" s="61"/>
    </row>
    <row r="204" spans="1:20" x14ac:dyDescent="0.25">
      <c r="A204" s="62" t="s">
        <v>745</v>
      </c>
      <c r="B204" s="58"/>
      <c r="C204" s="58"/>
      <c r="D204" s="58"/>
      <c r="E204" s="23" t="s">
        <v>612</v>
      </c>
      <c r="F204" s="24" t="s">
        <v>612</v>
      </c>
      <c r="G204" s="24" t="s">
        <v>612</v>
      </c>
      <c r="H204" s="23" t="s">
        <v>612</v>
      </c>
      <c r="I204" s="24" t="s">
        <v>612</v>
      </c>
      <c r="J204" s="24" t="s">
        <v>612</v>
      </c>
      <c r="K204" s="24" t="s">
        <v>612</v>
      </c>
      <c r="L204" s="25" t="s">
        <v>612</v>
      </c>
      <c r="M204" s="26" t="s">
        <v>612</v>
      </c>
      <c r="N204" s="27" t="s">
        <v>612</v>
      </c>
      <c r="O204" s="27" t="s">
        <v>612</v>
      </c>
      <c r="P204" s="27" t="s">
        <v>612</v>
      </c>
      <c r="Q204" s="28" t="s">
        <v>612</v>
      </c>
      <c r="R204" s="63" t="s">
        <v>612</v>
      </c>
      <c r="S204" s="58"/>
      <c r="T204" s="61"/>
    </row>
    <row r="205" spans="1:20" x14ac:dyDescent="0.25">
      <c r="A205" s="64" t="s">
        <v>746</v>
      </c>
      <c r="B205" s="58"/>
      <c r="C205" s="58"/>
      <c r="D205" s="58"/>
      <c r="E205" s="29">
        <v>0</v>
      </c>
      <c r="F205" s="30" t="s">
        <v>612</v>
      </c>
      <c r="G205" s="30" t="s">
        <v>612</v>
      </c>
      <c r="H205" s="29">
        <v>0</v>
      </c>
      <c r="I205" s="31">
        <v>0</v>
      </c>
      <c r="J205" s="31">
        <v>0</v>
      </c>
      <c r="K205" s="31">
        <v>0</v>
      </c>
      <c r="L205" s="32">
        <v>0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65">
        <v>0</v>
      </c>
      <c r="S205" s="58"/>
      <c r="T205" s="61"/>
    </row>
    <row r="206" spans="1:20" x14ac:dyDescent="0.25">
      <c r="A206" s="70" t="s">
        <v>747</v>
      </c>
      <c r="B206" s="58"/>
      <c r="C206" s="58"/>
      <c r="D206" s="58"/>
      <c r="E206" s="33">
        <v>0</v>
      </c>
      <c r="F206" s="34">
        <v>156</v>
      </c>
      <c r="G206" s="34">
        <v>-156</v>
      </c>
      <c r="H206" s="33">
        <v>0</v>
      </c>
      <c r="I206" s="35">
        <v>0</v>
      </c>
      <c r="J206" s="35">
        <v>0</v>
      </c>
      <c r="K206" s="35">
        <v>0</v>
      </c>
      <c r="L206" s="36">
        <v>0</v>
      </c>
      <c r="M206" s="33">
        <v>0</v>
      </c>
      <c r="N206" s="37">
        <v>0</v>
      </c>
      <c r="O206" s="35">
        <v>0</v>
      </c>
      <c r="P206" s="35">
        <v>0</v>
      </c>
      <c r="Q206" s="35">
        <v>0</v>
      </c>
      <c r="R206" s="71">
        <v>0</v>
      </c>
      <c r="S206" s="58"/>
      <c r="T206" s="61"/>
    </row>
    <row r="207" spans="1:20" x14ac:dyDescent="0.25">
      <c r="A207" s="59" t="s">
        <v>748</v>
      </c>
      <c r="B207" s="58"/>
      <c r="C207" s="58"/>
      <c r="D207" s="58"/>
      <c r="E207" s="20" t="s">
        <v>612</v>
      </c>
      <c r="F207" s="21" t="s">
        <v>612</v>
      </c>
      <c r="G207" s="21" t="s">
        <v>612</v>
      </c>
      <c r="H207" s="20" t="s">
        <v>612</v>
      </c>
      <c r="I207" s="21" t="s">
        <v>612</v>
      </c>
      <c r="J207" s="21" t="s">
        <v>612</v>
      </c>
      <c r="K207" s="21" t="s">
        <v>612</v>
      </c>
      <c r="L207" s="22" t="s">
        <v>612</v>
      </c>
      <c r="M207" s="20" t="s">
        <v>612</v>
      </c>
      <c r="N207" s="21" t="s">
        <v>612</v>
      </c>
      <c r="O207" s="21" t="s">
        <v>612</v>
      </c>
      <c r="P207" s="21" t="s">
        <v>612</v>
      </c>
      <c r="Q207" s="22" t="s">
        <v>612</v>
      </c>
      <c r="R207" s="60" t="s">
        <v>612</v>
      </c>
      <c r="S207" s="58"/>
      <c r="T207" s="61"/>
    </row>
    <row r="208" spans="1:20" x14ac:dyDescent="0.25">
      <c r="A208" s="62" t="s">
        <v>671</v>
      </c>
      <c r="B208" s="58"/>
      <c r="C208" s="58"/>
      <c r="D208" s="58"/>
      <c r="E208" s="23" t="s">
        <v>612</v>
      </c>
      <c r="F208" s="24" t="s">
        <v>612</v>
      </c>
      <c r="G208" s="24" t="s">
        <v>612</v>
      </c>
      <c r="H208" s="23" t="s">
        <v>612</v>
      </c>
      <c r="I208" s="24" t="s">
        <v>612</v>
      </c>
      <c r="J208" s="24" t="s">
        <v>612</v>
      </c>
      <c r="K208" s="24" t="s">
        <v>612</v>
      </c>
      <c r="L208" s="25" t="s">
        <v>612</v>
      </c>
      <c r="M208" s="26" t="s">
        <v>612</v>
      </c>
      <c r="N208" s="27" t="s">
        <v>612</v>
      </c>
      <c r="O208" s="27" t="s">
        <v>612</v>
      </c>
      <c r="P208" s="27" t="s">
        <v>612</v>
      </c>
      <c r="Q208" s="28" t="s">
        <v>612</v>
      </c>
      <c r="R208" s="63" t="s">
        <v>612</v>
      </c>
      <c r="S208" s="58"/>
      <c r="T208" s="61"/>
    </row>
    <row r="209" spans="1:20" x14ac:dyDescent="0.25">
      <c r="A209" s="64" t="s">
        <v>749</v>
      </c>
      <c r="B209" s="58"/>
      <c r="C209" s="58"/>
      <c r="D209" s="58"/>
      <c r="E209" s="29">
        <v>0</v>
      </c>
      <c r="F209" s="30" t="s">
        <v>612</v>
      </c>
      <c r="G209" s="30" t="s">
        <v>612</v>
      </c>
      <c r="H209" s="29">
        <v>0</v>
      </c>
      <c r="I209" s="31">
        <v>0</v>
      </c>
      <c r="J209" s="31">
        <v>0</v>
      </c>
      <c r="K209" s="31">
        <v>0</v>
      </c>
      <c r="L209" s="32">
        <v>0</v>
      </c>
      <c r="M209" s="29">
        <v>0</v>
      </c>
      <c r="N209" s="31">
        <v>0</v>
      </c>
      <c r="O209" s="31">
        <v>0</v>
      </c>
      <c r="P209" s="31">
        <v>0</v>
      </c>
      <c r="Q209" s="31">
        <v>0</v>
      </c>
      <c r="R209" s="65">
        <v>0</v>
      </c>
      <c r="S209" s="58"/>
      <c r="T209" s="61"/>
    </row>
    <row r="210" spans="1:20" x14ac:dyDescent="0.25">
      <c r="A210" s="62" t="s">
        <v>613</v>
      </c>
      <c r="B210" s="58"/>
      <c r="C210" s="58"/>
      <c r="D210" s="58"/>
      <c r="E210" s="23" t="s">
        <v>612</v>
      </c>
      <c r="F210" s="24" t="s">
        <v>612</v>
      </c>
      <c r="G210" s="24" t="s">
        <v>612</v>
      </c>
      <c r="H210" s="23" t="s">
        <v>612</v>
      </c>
      <c r="I210" s="24" t="s">
        <v>612</v>
      </c>
      <c r="J210" s="24" t="s">
        <v>612</v>
      </c>
      <c r="K210" s="24" t="s">
        <v>612</v>
      </c>
      <c r="L210" s="25" t="s">
        <v>612</v>
      </c>
      <c r="M210" s="26" t="s">
        <v>612</v>
      </c>
      <c r="N210" s="27" t="s">
        <v>612</v>
      </c>
      <c r="O210" s="27" t="s">
        <v>612</v>
      </c>
      <c r="P210" s="27" t="s">
        <v>612</v>
      </c>
      <c r="Q210" s="28" t="s">
        <v>612</v>
      </c>
      <c r="R210" s="63" t="s">
        <v>612</v>
      </c>
      <c r="S210" s="58"/>
      <c r="T210" s="61"/>
    </row>
    <row r="211" spans="1:20" x14ac:dyDescent="0.25">
      <c r="A211" s="64" t="s">
        <v>750</v>
      </c>
      <c r="B211" s="58"/>
      <c r="C211" s="58"/>
      <c r="D211" s="58"/>
      <c r="E211" s="29">
        <v>398</v>
      </c>
      <c r="F211" s="30" t="s">
        <v>612</v>
      </c>
      <c r="G211" s="30" t="s">
        <v>612</v>
      </c>
      <c r="H211" s="29">
        <v>382</v>
      </c>
      <c r="I211" s="31">
        <v>0</v>
      </c>
      <c r="J211" s="31">
        <v>0</v>
      </c>
      <c r="K211" s="31">
        <v>0</v>
      </c>
      <c r="L211" s="32">
        <v>382</v>
      </c>
      <c r="M211" s="29">
        <v>0</v>
      </c>
      <c r="N211" s="31">
        <v>16</v>
      </c>
      <c r="O211" s="31">
        <v>0</v>
      </c>
      <c r="P211" s="31">
        <v>0</v>
      </c>
      <c r="Q211" s="31">
        <v>16</v>
      </c>
      <c r="R211" s="65">
        <v>398</v>
      </c>
      <c r="S211" s="58"/>
      <c r="T211" s="61"/>
    </row>
    <row r="212" spans="1:20" x14ac:dyDescent="0.25">
      <c r="A212" s="62" t="s">
        <v>674</v>
      </c>
      <c r="B212" s="58"/>
      <c r="C212" s="58"/>
      <c r="D212" s="58"/>
      <c r="E212" s="23" t="s">
        <v>612</v>
      </c>
      <c r="F212" s="24" t="s">
        <v>612</v>
      </c>
      <c r="G212" s="24" t="s">
        <v>612</v>
      </c>
      <c r="H212" s="23" t="s">
        <v>612</v>
      </c>
      <c r="I212" s="24" t="s">
        <v>612</v>
      </c>
      <c r="J212" s="24" t="s">
        <v>612</v>
      </c>
      <c r="K212" s="24" t="s">
        <v>612</v>
      </c>
      <c r="L212" s="25" t="s">
        <v>612</v>
      </c>
      <c r="M212" s="26" t="s">
        <v>612</v>
      </c>
      <c r="N212" s="27" t="s">
        <v>612</v>
      </c>
      <c r="O212" s="27" t="s">
        <v>612</v>
      </c>
      <c r="P212" s="27" t="s">
        <v>612</v>
      </c>
      <c r="Q212" s="28" t="s">
        <v>612</v>
      </c>
      <c r="R212" s="63" t="s">
        <v>612</v>
      </c>
      <c r="S212" s="58"/>
      <c r="T212" s="61"/>
    </row>
    <row r="213" spans="1:20" x14ac:dyDescent="0.25">
      <c r="A213" s="64" t="s">
        <v>750</v>
      </c>
      <c r="B213" s="58"/>
      <c r="C213" s="58"/>
      <c r="D213" s="58"/>
      <c r="E213" s="29">
        <v>173</v>
      </c>
      <c r="F213" s="30" t="s">
        <v>612</v>
      </c>
      <c r="G213" s="30" t="s">
        <v>612</v>
      </c>
      <c r="H213" s="29">
        <v>173</v>
      </c>
      <c r="I213" s="31">
        <v>0</v>
      </c>
      <c r="J213" s="31">
        <v>0</v>
      </c>
      <c r="K213" s="31">
        <v>0</v>
      </c>
      <c r="L213" s="32">
        <v>173</v>
      </c>
      <c r="M213" s="29">
        <v>0</v>
      </c>
      <c r="N213" s="31">
        <v>0</v>
      </c>
      <c r="O213" s="31">
        <v>0</v>
      </c>
      <c r="P213" s="31">
        <v>0</v>
      </c>
      <c r="Q213" s="31">
        <v>0</v>
      </c>
      <c r="R213" s="65">
        <v>173</v>
      </c>
      <c r="S213" s="58"/>
      <c r="T213" s="61"/>
    </row>
    <row r="214" spans="1:20" x14ac:dyDescent="0.25">
      <c r="A214" s="70" t="s">
        <v>751</v>
      </c>
      <c r="B214" s="58"/>
      <c r="C214" s="58"/>
      <c r="D214" s="58"/>
      <c r="E214" s="33">
        <v>571</v>
      </c>
      <c r="F214" s="34">
        <v>552</v>
      </c>
      <c r="G214" s="34">
        <v>19</v>
      </c>
      <c r="H214" s="33">
        <v>555</v>
      </c>
      <c r="I214" s="35">
        <v>0</v>
      </c>
      <c r="J214" s="35">
        <v>0</v>
      </c>
      <c r="K214" s="35">
        <v>0</v>
      </c>
      <c r="L214" s="36">
        <v>555</v>
      </c>
      <c r="M214" s="33">
        <v>0</v>
      </c>
      <c r="N214" s="37">
        <v>16</v>
      </c>
      <c r="O214" s="35">
        <v>0</v>
      </c>
      <c r="P214" s="35">
        <v>0</v>
      </c>
      <c r="Q214" s="35">
        <v>16</v>
      </c>
      <c r="R214" s="71">
        <v>571</v>
      </c>
      <c r="S214" s="58"/>
      <c r="T214" s="61"/>
    </row>
    <row r="215" spans="1:20" x14ac:dyDescent="0.25">
      <c r="A215" s="72" t="s">
        <v>752</v>
      </c>
      <c r="B215" s="58"/>
      <c r="C215" s="58"/>
      <c r="D215" s="58"/>
      <c r="E215" s="38">
        <v>9399.6833220000008</v>
      </c>
      <c r="F215" s="39">
        <v>10200</v>
      </c>
      <c r="G215" s="40">
        <v>-800.316677999999</v>
      </c>
      <c r="H215" s="38">
        <v>8316.0166539999991</v>
      </c>
      <c r="I215" s="40">
        <v>312.48333400000001</v>
      </c>
      <c r="J215" s="40">
        <v>0</v>
      </c>
      <c r="K215" s="40">
        <v>0</v>
      </c>
      <c r="L215" s="41">
        <v>8628.4999879999996</v>
      </c>
      <c r="M215" s="38">
        <v>184.8</v>
      </c>
      <c r="N215" s="42">
        <v>264</v>
      </c>
      <c r="O215" s="43">
        <v>242.61666700000001</v>
      </c>
      <c r="P215" s="43">
        <v>79.766666999999998</v>
      </c>
      <c r="Q215" s="43">
        <v>771.18333399999995</v>
      </c>
      <c r="R215" s="73">
        <v>9399.6833220000008</v>
      </c>
      <c r="S215" s="58"/>
      <c r="T215" s="61"/>
    </row>
    <row r="216" spans="1:20" ht="3.95" customHeight="1" x14ac:dyDescent="0.25">
      <c r="A216" s="74" t="s">
        <v>612</v>
      </c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</row>
    <row r="217" spans="1:20" ht="18" customHeight="1" x14ac:dyDescent="0.25">
      <c r="A217" s="57" t="s">
        <v>753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</row>
    <row r="218" spans="1:20" x14ac:dyDescent="0.25">
      <c r="A218" s="59" t="s">
        <v>754</v>
      </c>
      <c r="B218" s="58"/>
      <c r="C218" s="58"/>
      <c r="D218" s="58"/>
      <c r="E218" s="20" t="s">
        <v>612</v>
      </c>
      <c r="F218" s="21" t="s">
        <v>612</v>
      </c>
      <c r="G218" s="21" t="s">
        <v>612</v>
      </c>
      <c r="H218" s="20" t="s">
        <v>612</v>
      </c>
      <c r="I218" s="21" t="s">
        <v>612</v>
      </c>
      <c r="J218" s="21" t="s">
        <v>612</v>
      </c>
      <c r="K218" s="21" t="s">
        <v>612</v>
      </c>
      <c r="L218" s="22" t="s">
        <v>612</v>
      </c>
      <c r="M218" s="20" t="s">
        <v>612</v>
      </c>
      <c r="N218" s="21" t="s">
        <v>612</v>
      </c>
      <c r="O218" s="21" t="s">
        <v>612</v>
      </c>
      <c r="P218" s="21" t="s">
        <v>612</v>
      </c>
      <c r="Q218" s="22" t="s">
        <v>612</v>
      </c>
      <c r="R218" s="60" t="s">
        <v>612</v>
      </c>
      <c r="S218" s="58"/>
      <c r="T218" s="61"/>
    </row>
    <row r="219" spans="1:20" x14ac:dyDescent="0.25">
      <c r="A219" s="62" t="s">
        <v>613</v>
      </c>
      <c r="B219" s="58"/>
      <c r="C219" s="58"/>
      <c r="D219" s="58"/>
      <c r="E219" s="23" t="s">
        <v>612</v>
      </c>
      <c r="F219" s="24" t="s">
        <v>612</v>
      </c>
      <c r="G219" s="24" t="s">
        <v>612</v>
      </c>
      <c r="H219" s="23" t="s">
        <v>612</v>
      </c>
      <c r="I219" s="24" t="s">
        <v>612</v>
      </c>
      <c r="J219" s="24" t="s">
        <v>612</v>
      </c>
      <c r="K219" s="24" t="s">
        <v>612</v>
      </c>
      <c r="L219" s="25" t="s">
        <v>612</v>
      </c>
      <c r="M219" s="26" t="s">
        <v>612</v>
      </c>
      <c r="N219" s="27" t="s">
        <v>612</v>
      </c>
      <c r="O219" s="27" t="s">
        <v>612</v>
      </c>
      <c r="P219" s="27" t="s">
        <v>612</v>
      </c>
      <c r="Q219" s="28" t="s">
        <v>612</v>
      </c>
      <c r="R219" s="63" t="s">
        <v>612</v>
      </c>
      <c r="S219" s="58"/>
      <c r="T219" s="61"/>
    </row>
    <row r="220" spans="1:20" x14ac:dyDescent="0.25">
      <c r="A220" s="64" t="s">
        <v>649</v>
      </c>
      <c r="B220" s="58"/>
      <c r="C220" s="58"/>
      <c r="D220" s="58"/>
      <c r="E220" s="29">
        <v>911.31666700000005</v>
      </c>
      <c r="F220" s="30" t="s">
        <v>612</v>
      </c>
      <c r="G220" s="30" t="s">
        <v>612</v>
      </c>
      <c r="H220" s="29">
        <v>843.48333500000001</v>
      </c>
      <c r="I220" s="31">
        <v>59.833331999999999</v>
      </c>
      <c r="J220" s="31">
        <v>0</v>
      </c>
      <c r="K220" s="31">
        <v>0</v>
      </c>
      <c r="L220" s="32">
        <v>903.31666700000005</v>
      </c>
      <c r="M220" s="29">
        <v>0</v>
      </c>
      <c r="N220" s="31">
        <v>8</v>
      </c>
      <c r="O220" s="31">
        <v>0</v>
      </c>
      <c r="P220" s="31">
        <v>0</v>
      </c>
      <c r="Q220" s="31">
        <v>8</v>
      </c>
      <c r="R220" s="65">
        <v>911.31666700000005</v>
      </c>
      <c r="S220" s="58"/>
      <c r="T220" s="61"/>
    </row>
    <row r="221" spans="1:20" x14ac:dyDescent="0.25">
      <c r="A221" s="64" t="s">
        <v>657</v>
      </c>
      <c r="B221" s="58"/>
      <c r="C221" s="58"/>
      <c r="D221" s="58"/>
      <c r="E221" s="29">
        <v>3.483333</v>
      </c>
      <c r="F221" s="30" t="s">
        <v>612</v>
      </c>
      <c r="G221" s="30" t="s">
        <v>612</v>
      </c>
      <c r="H221" s="29">
        <v>3.483333</v>
      </c>
      <c r="I221" s="31">
        <v>0</v>
      </c>
      <c r="J221" s="31">
        <v>0</v>
      </c>
      <c r="K221" s="31">
        <v>0</v>
      </c>
      <c r="L221" s="32">
        <v>3.483333</v>
      </c>
      <c r="M221" s="29">
        <v>0</v>
      </c>
      <c r="N221" s="31">
        <v>0</v>
      </c>
      <c r="O221" s="31">
        <v>0</v>
      </c>
      <c r="P221" s="31">
        <v>0</v>
      </c>
      <c r="Q221" s="31">
        <v>0</v>
      </c>
      <c r="R221" s="65">
        <v>3.483333</v>
      </c>
      <c r="S221" s="58"/>
      <c r="T221" s="61"/>
    </row>
    <row r="222" spans="1:20" x14ac:dyDescent="0.25">
      <c r="A222" s="70" t="s">
        <v>755</v>
      </c>
      <c r="B222" s="58"/>
      <c r="C222" s="58"/>
      <c r="D222" s="58"/>
      <c r="E222" s="33">
        <v>914.8</v>
      </c>
      <c r="F222" s="34">
        <v>840</v>
      </c>
      <c r="G222" s="34">
        <v>74.800000000000296</v>
      </c>
      <c r="H222" s="33">
        <v>846.96666800000003</v>
      </c>
      <c r="I222" s="35">
        <v>59.833331999999999</v>
      </c>
      <c r="J222" s="35">
        <v>0</v>
      </c>
      <c r="K222" s="35">
        <v>0</v>
      </c>
      <c r="L222" s="36">
        <v>906.8</v>
      </c>
      <c r="M222" s="33">
        <v>0</v>
      </c>
      <c r="N222" s="37">
        <v>8</v>
      </c>
      <c r="O222" s="35">
        <v>0</v>
      </c>
      <c r="P222" s="35">
        <v>0</v>
      </c>
      <c r="Q222" s="35">
        <v>8</v>
      </c>
      <c r="R222" s="71">
        <v>914.8</v>
      </c>
      <c r="S222" s="58"/>
      <c r="T222" s="61"/>
    </row>
    <row r="223" spans="1:20" x14ac:dyDescent="0.25">
      <c r="A223" s="72" t="s">
        <v>756</v>
      </c>
      <c r="B223" s="58"/>
      <c r="C223" s="58"/>
      <c r="D223" s="58"/>
      <c r="E223" s="38">
        <v>914.8</v>
      </c>
      <c r="F223" s="39">
        <v>840</v>
      </c>
      <c r="G223" s="40">
        <v>74.800000000000296</v>
      </c>
      <c r="H223" s="38">
        <v>846.96666800000003</v>
      </c>
      <c r="I223" s="40">
        <v>59.833331999999999</v>
      </c>
      <c r="J223" s="40">
        <v>0</v>
      </c>
      <c r="K223" s="40">
        <v>0</v>
      </c>
      <c r="L223" s="41">
        <v>906.8</v>
      </c>
      <c r="M223" s="38">
        <v>0</v>
      </c>
      <c r="N223" s="42">
        <v>8</v>
      </c>
      <c r="O223" s="43">
        <v>0</v>
      </c>
      <c r="P223" s="43">
        <v>0</v>
      </c>
      <c r="Q223" s="43">
        <v>8</v>
      </c>
      <c r="R223" s="73">
        <v>914.8</v>
      </c>
      <c r="S223" s="58"/>
      <c r="T223" s="61"/>
    </row>
    <row r="224" spans="1:20" ht="3.95" customHeight="1" x14ac:dyDescent="0.25">
      <c r="A224" s="74" t="s">
        <v>612</v>
      </c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</row>
    <row r="225" spans="1:20" ht="18" customHeight="1" x14ac:dyDescent="0.25">
      <c r="A225" s="57" t="s">
        <v>757</v>
      </c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</row>
    <row r="226" spans="1:20" x14ac:dyDescent="0.25">
      <c r="A226" s="59" t="s">
        <v>758</v>
      </c>
      <c r="B226" s="58"/>
      <c r="C226" s="58"/>
      <c r="D226" s="58"/>
      <c r="E226" s="20" t="s">
        <v>612</v>
      </c>
      <c r="F226" s="21" t="s">
        <v>612</v>
      </c>
      <c r="G226" s="21" t="s">
        <v>612</v>
      </c>
      <c r="H226" s="20" t="s">
        <v>612</v>
      </c>
      <c r="I226" s="21" t="s">
        <v>612</v>
      </c>
      <c r="J226" s="21" t="s">
        <v>612</v>
      </c>
      <c r="K226" s="21" t="s">
        <v>612</v>
      </c>
      <c r="L226" s="22" t="s">
        <v>612</v>
      </c>
      <c r="M226" s="20" t="s">
        <v>612</v>
      </c>
      <c r="N226" s="21" t="s">
        <v>612</v>
      </c>
      <c r="O226" s="21" t="s">
        <v>612</v>
      </c>
      <c r="P226" s="21" t="s">
        <v>612</v>
      </c>
      <c r="Q226" s="22" t="s">
        <v>612</v>
      </c>
      <c r="R226" s="60" t="s">
        <v>612</v>
      </c>
      <c r="S226" s="58"/>
      <c r="T226" s="61"/>
    </row>
    <row r="227" spans="1:20" x14ac:dyDescent="0.25">
      <c r="A227" s="62" t="s">
        <v>613</v>
      </c>
      <c r="B227" s="58"/>
      <c r="C227" s="58"/>
      <c r="D227" s="58"/>
      <c r="E227" s="23" t="s">
        <v>612</v>
      </c>
      <c r="F227" s="24" t="s">
        <v>612</v>
      </c>
      <c r="G227" s="24" t="s">
        <v>612</v>
      </c>
      <c r="H227" s="23" t="s">
        <v>612</v>
      </c>
      <c r="I227" s="24" t="s">
        <v>612</v>
      </c>
      <c r="J227" s="24" t="s">
        <v>612</v>
      </c>
      <c r="K227" s="24" t="s">
        <v>612</v>
      </c>
      <c r="L227" s="25" t="s">
        <v>612</v>
      </c>
      <c r="M227" s="26" t="s">
        <v>612</v>
      </c>
      <c r="N227" s="27" t="s">
        <v>612</v>
      </c>
      <c r="O227" s="27" t="s">
        <v>612</v>
      </c>
      <c r="P227" s="27" t="s">
        <v>612</v>
      </c>
      <c r="Q227" s="28" t="s">
        <v>612</v>
      </c>
      <c r="R227" s="63" t="s">
        <v>612</v>
      </c>
      <c r="S227" s="58"/>
      <c r="T227" s="61"/>
    </row>
    <row r="228" spans="1:20" x14ac:dyDescent="0.25">
      <c r="A228" s="64" t="s">
        <v>759</v>
      </c>
      <c r="B228" s="58"/>
      <c r="C228" s="58"/>
      <c r="D228" s="58"/>
      <c r="E228" s="29">
        <v>875.50000199999999</v>
      </c>
      <c r="F228" s="30" t="s">
        <v>612</v>
      </c>
      <c r="G228" s="30" t="s">
        <v>612</v>
      </c>
      <c r="H228" s="29">
        <v>807.63333299999999</v>
      </c>
      <c r="I228" s="31">
        <v>3.8666689999999999</v>
      </c>
      <c r="J228" s="31">
        <v>0</v>
      </c>
      <c r="K228" s="31">
        <v>0</v>
      </c>
      <c r="L228" s="32">
        <v>811.50000199999999</v>
      </c>
      <c r="M228" s="29">
        <v>40</v>
      </c>
      <c r="N228" s="31">
        <v>24</v>
      </c>
      <c r="O228" s="31">
        <v>0</v>
      </c>
      <c r="P228" s="31">
        <v>0</v>
      </c>
      <c r="Q228" s="31">
        <v>64</v>
      </c>
      <c r="R228" s="65">
        <v>875.50000199999999</v>
      </c>
      <c r="S228" s="58"/>
      <c r="T228" s="61"/>
    </row>
    <row r="229" spans="1:20" x14ac:dyDescent="0.25">
      <c r="A229" s="70" t="s">
        <v>760</v>
      </c>
      <c r="B229" s="58"/>
      <c r="C229" s="58"/>
      <c r="D229" s="58"/>
      <c r="E229" s="33">
        <v>875.50000199999999</v>
      </c>
      <c r="F229" s="34">
        <v>840</v>
      </c>
      <c r="G229" s="34">
        <v>35.500001999999803</v>
      </c>
      <c r="H229" s="33">
        <v>807.63333299999999</v>
      </c>
      <c r="I229" s="35">
        <v>3.8666689999999999</v>
      </c>
      <c r="J229" s="35">
        <v>0</v>
      </c>
      <c r="K229" s="35">
        <v>0</v>
      </c>
      <c r="L229" s="36">
        <v>811.50000199999999</v>
      </c>
      <c r="M229" s="33">
        <v>40</v>
      </c>
      <c r="N229" s="37">
        <v>24</v>
      </c>
      <c r="O229" s="35">
        <v>0</v>
      </c>
      <c r="P229" s="35">
        <v>0</v>
      </c>
      <c r="Q229" s="35">
        <v>64</v>
      </c>
      <c r="R229" s="71">
        <v>875.50000199999999</v>
      </c>
      <c r="S229" s="58"/>
      <c r="T229" s="61"/>
    </row>
    <row r="230" spans="1:20" x14ac:dyDescent="0.25">
      <c r="A230" s="72" t="s">
        <v>761</v>
      </c>
      <c r="B230" s="58"/>
      <c r="C230" s="58"/>
      <c r="D230" s="58"/>
      <c r="E230" s="38">
        <v>875.50000199999999</v>
      </c>
      <c r="F230" s="39">
        <v>840</v>
      </c>
      <c r="G230" s="40">
        <v>35.500001999999803</v>
      </c>
      <c r="H230" s="38">
        <v>807.63333299999999</v>
      </c>
      <c r="I230" s="40">
        <v>3.8666689999999999</v>
      </c>
      <c r="J230" s="40">
        <v>0</v>
      </c>
      <c r="K230" s="40">
        <v>0</v>
      </c>
      <c r="L230" s="41">
        <v>811.50000199999999</v>
      </c>
      <c r="M230" s="38">
        <v>40</v>
      </c>
      <c r="N230" s="42">
        <v>24</v>
      </c>
      <c r="O230" s="43">
        <v>0</v>
      </c>
      <c r="P230" s="43">
        <v>0</v>
      </c>
      <c r="Q230" s="43">
        <v>64</v>
      </c>
      <c r="R230" s="73">
        <v>875.50000199999999</v>
      </c>
      <c r="S230" s="58"/>
      <c r="T230" s="61"/>
    </row>
    <row r="231" spans="1:20" ht="3.95" customHeight="1" x14ac:dyDescent="0.25">
      <c r="A231" s="74" t="s">
        <v>612</v>
      </c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</row>
    <row r="232" spans="1:20" x14ac:dyDescent="0.25">
      <c r="A232" s="75" t="s">
        <v>579</v>
      </c>
      <c r="B232" s="58"/>
      <c r="C232" s="58"/>
      <c r="D232" s="58"/>
      <c r="E232" s="44">
        <v>40848.133353999998</v>
      </c>
      <c r="F232" s="44">
        <v>38550</v>
      </c>
      <c r="G232" s="44">
        <v>2298.1333540000001</v>
      </c>
      <c r="H232" s="44">
        <v>36422.616692000003</v>
      </c>
      <c r="I232" s="44">
        <v>785.64999799999998</v>
      </c>
      <c r="J232" s="45" t="s">
        <v>612</v>
      </c>
      <c r="K232" s="45" t="s">
        <v>612</v>
      </c>
      <c r="L232" s="44">
        <v>37208.266689999997</v>
      </c>
      <c r="M232" s="44">
        <v>1173.6500000000001</v>
      </c>
      <c r="N232" s="44">
        <v>1072</v>
      </c>
      <c r="O232" s="44">
        <v>1098.7833310000001</v>
      </c>
      <c r="P232" s="44">
        <v>295.433333</v>
      </c>
      <c r="Q232" s="44">
        <v>3639.8666640000001</v>
      </c>
      <c r="R232" s="76">
        <v>40848.133353999998</v>
      </c>
      <c r="S232" s="58"/>
      <c r="T232" s="58"/>
    </row>
  </sheetData>
  <mergeCells count="437">
    <mergeCell ref="A230:D230"/>
    <mergeCell ref="R230:T230"/>
    <mergeCell ref="A231:T231"/>
    <mergeCell ref="A232:D232"/>
    <mergeCell ref="R232:T232"/>
    <mergeCell ref="A227:D227"/>
    <mergeCell ref="R227:T227"/>
    <mergeCell ref="A228:D228"/>
    <mergeCell ref="R228:T228"/>
    <mergeCell ref="A229:D229"/>
    <mergeCell ref="R229:T229"/>
    <mergeCell ref="A223:D223"/>
    <mergeCell ref="R223:T223"/>
    <mergeCell ref="A224:T224"/>
    <mergeCell ref="A225:T225"/>
    <mergeCell ref="A226:D226"/>
    <mergeCell ref="R226:T226"/>
    <mergeCell ref="A220:D220"/>
    <mergeCell ref="R220:T220"/>
    <mergeCell ref="A221:D221"/>
    <mergeCell ref="R221:T221"/>
    <mergeCell ref="A222:D222"/>
    <mergeCell ref="R222:T222"/>
    <mergeCell ref="A216:T216"/>
    <mergeCell ref="A217:T217"/>
    <mergeCell ref="A218:D218"/>
    <mergeCell ref="R218:T218"/>
    <mergeCell ref="A219:D219"/>
    <mergeCell ref="R219:T219"/>
    <mergeCell ref="A214:D214"/>
    <mergeCell ref="R214:T214"/>
    <mergeCell ref="A215:D215"/>
    <mergeCell ref="R215:T215"/>
    <mergeCell ref="A211:D211"/>
    <mergeCell ref="R211:T211"/>
    <mergeCell ref="A212:D212"/>
    <mergeCell ref="R212:T212"/>
    <mergeCell ref="A213:D213"/>
    <mergeCell ref="R213:T213"/>
    <mergeCell ref="A208:D208"/>
    <mergeCell ref="R208:T208"/>
    <mergeCell ref="A209:D209"/>
    <mergeCell ref="R209:T209"/>
    <mergeCell ref="A210:D210"/>
    <mergeCell ref="R210:T210"/>
    <mergeCell ref="A205:D205"/>
    <mergeCell ref="R205:T205"/>
    <mergeCell ref="A206:D206"/>
    <mergeCell ref="R206:T206"/>
    <mergeCell ref="A207:D207"/>
    <mergeCell ref="R207:T207"/>
    <mergeCell ref="A202:D202"/>
    <mergeCell ref="R202:T202"/>
    <mergeCell ref="A203:D203"/>
    <mergeCell ref="R203:T203"/>
    <mergeCell ref="A204:D204"/>
    <mergeCell ref="R204:T204"/>
    <mergeCell ref="A199:D199"/>
    <mergeCell ref="R199:T199"/>
    <mergeCell ref="A200:D200"/>
    <mergeCell ref="R200:T200"/>
    <mergeCell ref="A201:D201"/>
    <mergeCell ref="R201:T201"/>
    <mergeCell ref="A196:D196"/>
    <mergeCell ref="R196:T196"/>
    <mergeCell ref="A197:D197"/>
    <mergeCell ref="R197:T197"/>
    <mergeCell ref="A198:D198"/>
    <mergeCell ref="R198:T198"/>
    <mergeCell ref="A193:D193"/>
    <mergeCell ref="R193:T193"/>
    <mergeCell ref="A194:D194"/>
    <mergeCell ref="R194:T194"/>
    <mergeCell ref="A195:D195"/>
    <mergeCell ref="R195:T195"/>
    <mergeCell ref="A190:D190"/>
    <mergeCell ref="R190:T190"/>
    <mergeCell ref="A191:D191"/>
    <mergeCell ref="R191:T191"/>
    <mergeCell ref="A192:D192"/>
    <mergeCell ref="R192:T192"/>
    <mergeCell ref="A187:D187"/>
    <mergeCell ref="R187:T187"/>
    <mergeCell ref="A188:D188"/>
    <mergeCell ref="R188:T188"/>
    <mergeCell ref="A189:D189"/>
    <mergeCell ref="R189:T189"/>
    <mergeCell ref="A184:D184"/>
    <mergeCell ref="R184:T184"/>
    <mergeCell ref="A185:D185"/>
    <mergeCell ref="R185:T185"/>
    <mergeCell ref="A186:D186"/>
    <mergeCell ref="R186:T186"/>
    <mergeCell ref="A181:D181"/>
    <mergeCell ref="R181:T181"/>
    <mergeCell ref="A182:D182"/>
    <mergeCell ref="R182:T182"/>
    <mergeCell ref="A183:D183"/>
    <mergeCell ref="R183:T183"/>
    <mergeCell ref="A178:D178"/>
    <mergeCell ref="R178:T178"/>
    <mergeCell ref="A179:D179"/>
    <mergeCell ref="R179:T179"/>
    <mergeCell ref="A180:D180"/>
    <mergeCell ref="R180:T180"/>
    <mergeCell ref="A175:D175"/>
    <mergeCell ref="R175:T175"/>
    <mergeCell ref="A176:D176"/>
    <mergeCell ref="R176:T176"/>
    <mergeCell ref="A177:D177"/>
    <mergeCell ref="R177:T177"/>
    <mergeCell ref="A172:D172"/>
    <mergeCell ref="R172:T172"/>
    <mergeCell ref="A173:D173"/>
    <mergeCell ref="R173:T173"/>
    <mergeCell ref="A174:D174"/>
    <mergeCell ref="R174:T174"/>
    <mergeCell ref="A169:D169"/>
    <mergeCell ref="R169:T169"/>
    <mergeCell ref="A170:D170"/>
    <mergeCell ref="R170:T170"/>
    <mergeCell ref="A171:D171"/>
    <mergeCell ref="R171:T171"/>
    <mergeCell ref="A166:D166"/>
    <mergeCell ref="R166:T166"/>
    <mergeCell ref="A167:D167"/>
    <mergeCell ref="R167:T167"/>
    <mergeCell ref="A168:D168"/>
    <mergeCell ref="R168:T168"/>
    <mergeCell ref="A163:D163"/>
    <mergeCell ref="R163:T163"/>
    <mergeCell ref="A164:D164"/>
    <mergeCell ref="R164:T164"/>
    <mergeCell ref="A165:D165"/>
    <mergeCell ref="R165:T165"/>
    <mergeCell ref="A160:D160"/>
    <mergeCell ref="R160:T160"/>
    <mergeCell ref="A161:D161"/>
    <mergeCell ref="R161:T161"/>
    <mergeCell ref="A162:D162"/>
    <mergeCell ref="R162:T162"/>
    <mergeCell ref="A157:D157"/>
    <mergeCell ref="R157:T157"/>
    <mergeCell ref="A158:D158"/>
    <mergeCell ref="R158:T158"/>
    <mergeCell ref="A159:D159"/>
    <mergeCell ref="R159:T159"/>
    <mergeCell ref="A153:D153"/>
    <mergeCell ref="R153:T153"/>
    <mergeCell ref="A154:D154"/>
    <mergeCell ref="R154:T154"/>
    <mergeCell ref="A155:T155"/>
    <mergeCell ref="A156:T156"/>
    <mergeCell ref="A150:D150"/>
    <mergeCell ref="R150:T150"/>
    <mergeCell ref="A151:D151"/>
    <mergeCell ref="R151:T151"/>
    <mergeCell ref="A152:D152"/>
    <mergeCell ref="R152:T152"/>
    <mergeCell ref="A147:D147"/>
    <mergeCell ref="R147:T147"/>
    <mergeCell ref="A148:D148"/>
    <mergeCell ref="R148:T148"/>
    <mergeCell ref="A149:D149"/>
    <mergeCell ref="R149:T149"/>
    <mergeCell ref="A144:D144"/>
    <mergeCell ref="R144:T144"/>
    <mergeCell ref="A145:D145"/>
    <mergeCell ref="R145:T145"/>
    <mergeCell ref="A146:D146"/>
    <mergeCell ref="R146:T146"/>
    <mergeCell ref="A141:D141"/>
    <mergeCell ref="R141:T141"/>
    <mergeCell ref="A142:D142"/>
    <mergeCell ref="R142:T142"/>
    <mergeCell ref="A143:D143"/>
    <mergeCell ref="R143:T143"/>
    <mergeCell ref="A138:D138"/>
    <mergeCell ref="R138:T138"/>
    <mergeCell ref="A139:D139"/>
    <mergeCell ref="R139:T139"/>
    <mergeCell ref="A140:D140"/>
    <mergeCell ref="R140:T140"/>
    <mergeCell ref="A135:D135"/>
    <mergeCell ref="R135:T135"/>
    <mergeCell ref="A136:D136"/>
    <mergeCell ref="R136:T136"/>
    <mergeCell ref="A137:D137"/>
    <mergeCell ref="R137:T137"/>
    <mergeCell ref="A132:D132"/>
    <mergeCell ref="R132:T132"/>
    <mergeCell ref="A133:D133"/>
    <mergeCell ref="R133:T133"/>
    <mergeCell ref="A134:D134"/>
    <mergeCell ref="R134:T134"/>
    <mergeCell ref="A129:D129"/>
    <mergeCell ref="R129:T129"/>
    <mergeCell ref="A130:D130"/>
    <mergeCell ref="R130:T130"/>
    <mergeCell ref="A131:D131"/>
    <mergeCell ref="R131:T131"/>
    <mergeCell ref="A126:D126"/>
    <mergeCell ref="R126:T126"/>
    <mergeCell ref="A127:D127"/>
    <mergeCell ref="R127:T127"/>
    <mergeCell ref="A128:D128"/>
    <mergeCell ref="R128:T128"/>
    <mergeCell ref="A123:D123"/>
    <mergeCell ref="R123:T123"/>
    <mergeCell ref="A124:D124"/>
    <mergeCell ref="R124:T124"/>
    <mergeCell ref="A125:D125"/>
    <mergeCell ref="R125:T125"/>
    <mergeCell ref="A120:D120"/>
    <mergeCell ref="R120:T120"/>
    <mergeCell ref="A121:D121"/>
    <mergeCell ref="R121:T121"/>
    <mergeCell ref="A122:D122"/>
    <mergeCell ref="R122:T122"/>
    <mergeCell ref="A117:D117"/>
    <mergeCell ref="R117:T117"/>
    <mergeCell ref="A118:D118"/>
    <mergeCell ref="R118:T118"/>
    <mergeCell ref="A119:D119"/>
    <mergeCell ref="R119:T119"/>
    <mergeCell ref="A114:D114"/>
    <mergeCell ref="R114:T114"/>
    <mergeCell ref="A115:D115"/>
    <mergeCell ref="R115:T115"/>
    <mergeCell ref="A116:D116"/>
    <mergeCell ref="R116:T116"/>
    <mergeCell ref="A111:D111"/>
    <mergeCell ref="R111:T111"/>
    <mergeCell ref="A112:D112"/>
    <mergeCell ref="R112:T112"/>
    <mergeCell ref="A113:D113"/>
    <mergeCell ref="R113:T113"/>
    <mergeCell ref="A108:D108"/>
    <mergeCell ref="R108:T108"/>
    <mergeCell ref="A109:D109"/>
    <mergeCell ref="R109:T109"/>
    <mergeCell ref="A110:D110"/>
    <mergeCell ref="R110:T110"/>
    <mergeCell ref="A105:D105"/>
    <mergeCell ref="R105:T105"/>
    <mergeCell ref="A106:D106"/>
    <mergeCell ref="R106:T106"/>
    <mergeCell ref="A107:D107"/>
    <mergeCell ref="R107:T107"/>
    <mergeCell ref="A102:D102"/>
    <mergeCell ref="R102:T102"/>
    <mergeCell ref="A103:D103"/>
    <mergeCell ref="R103:T103"/>
    <mergeCell ref="A104:D104"/>
    <mergeCell ref="R104:T104"/>
    <mergeCell ref="A99:D99"/>
    <mergeCell ref="R99:T99"/>
    <mergeCell ref="A100:D100"/>
    <mergeCell ref="R100:T100"/>
    <mergeCell ref="A101:D101"/>
    <mergeCell ref="R101:T101"/>
    <mergeCell ref="A96:D96"/>
    <mergeCell ref="R96:T96"/>
    <mergeCell ref="A97:D97"/>
    <mergeCell ref="R97:T97"/>
    <mergeCell ref="A98:D98"/>
    <mergeCell ref="R98:T98"/>
    <mergeCell ref="A93:D93"/>
    <mergeCell ref="R93:T93"/>
    <mergeCell ref="A94:D94"/>
    <mergeCell ref="R94:T94"/>
    <mergeCell ref="A95:D95"/>
    <mergeCell ref="R95:T95"/>
    <mergeCell ref="A90:D90"/>
    <mergeCell ref="R90:T90"/>
    <mergeCell ref="A91:D91"/>
    <mergeCell ref="R91:T91"/>
    <mergeCell ref="A92:D92"/>
    <mergeCell ref="R92:T92"/>
    <mergeCell ref="A87:D87"/>
    <mergeCell ref="R87:T87"/>
    <mergeCell ref="A88:D88"/>
    <mergeCell ref="R88:T88"/>
    <mergeCell ref="A89:D89"/>
    <mergeCell ref="R89:T89"/>
    <mergeCell ref="A84:D84"/>
    <mergeCell ref="R84:T84"/>
    <mergeCell ref="A85:D85"/>
    <mergeCell ref="R85:T85"/>
    <mergeCell ref="A86:D86"/>
    <mergeCell ref="R86:T86"/>
    <mergeCell ref="A81:D81"/>
    <mergeCell ref="R81:T81"/>
    <mergeCell ref="A82:D82"/>
    <mergeCell ref="R82:T82"/>
    <mergeCell ref="A83:D83"/>
    <mergeCell ref="R83:T83"/>
    <mergeCell ref="A78:D78"/>
    <mergeCell ref="R78:T78"/>
    <mergeCell ref="A79:D79"/>
    <mergeCell ref="R79:T79"/>
    <mergeCell ref="A80:D80"/>
    <mergeCell ref="R80:T80"/>
    <mergeCell ref="A75:D75"/>
    <mergeCell ref="R75:T75"/>
    <mergeCell ref="A76:D76"/>
    <mergeCell ref="R76:T76"/>
    <mergeCell ref="A77:D77"/>
    <mergeCell ref="R77:T77"/>
    <mergeCell ref="A72:D72"/>
    <mergeCell ref="R72:T72"/>
    <mergeCell ref="A73:D73"/>
    <mergeCell ref="R73:T73"/>
    <mergeCell ref="A74:D74"/>
    <mergeCell ref="R74:T74"/>
    <mergeCell ref="A69:D69"/>
    <mergeCell ref="R69:T69"/>
    <mergeCell ref="A70:D70"/>
    <mergeCell ref="R70:T70"/>
    <mergeCell ref="A71:D71"/>
    <mergeCell ref="R71:T71"/>
    <mergeCell ref="A66:D66"/>
    <mergeCell ref="R66:T66"/>
    <mergeCell ref="A67:D67"/>
    <mergeCell ref="R67:T67"/>
    <mergeCell ref="A68:D68"/>
    <mergeCell ref="R68:T68"/>
    <mergeCell ref="A63:D63"/>
    <mergeCell ref="R63:T63"/>
    <mergeCell ref="A64:D64"/>
    <mergeCell ref="R64:T64"/>
    <mergeCell ref="A65:D65"/>
    <mergeCell ref="R65:T65"/>
    <mergeCell ref="A60:D60"/>
    <mergeCell ref="R60:T60"/>
    <mergeCell ref="A61:D61"/>
    <mergeCell ref="R61:T61"/>
    <mergeCell ref="A62:D62"/>
    <mergeCell ref="R62:T62"/>
    <mergeCell ref="A57:D57"/>
    <mergeCell ref="R57:T57"/>
    <mergeCell ref="A58:D58"/>
    <mergeCell ref="R58:T58"/>
    <mergeCell ref="A59:D59"/>
    <mergeCell ref="R59:T59"/>
    <mergeCell ref="A54:D54"/>
    <mergeCell ref="R54:T54"/>
    <mergeCell ref="A55:D55"/>
    <mergeCell ref="R55:T55"/>
    <mergeCell ref="A56:D56"/>
    <mergeCell ref="R56:T56"/>
    <mergeCell ref="A51:D51"/>
    <mergeCell ref="R51:T51"/>
    <mergeCell ref="A52:D52"/>
    <mergeCell ref="R52:T52"/>
    <mergeCell ref="A53:D53"/>
    <mergeCell ref="R53:T53"/>
    <mergeCell ref="A47:D47"/>
    <mergeCell ref="R47:T47"/>
    <mergeCell ref="A48:T48"/>
    <mergeCell ref="A49:T49"/>
    <mergeCell ref="A50:D50"/>
    <mergeCell ref="R50:T50"/>
    <mergeCell ref="A44:D44"/>
    <mergeCell ref="R44:T44"/>
    <mergeCell ref="A45:D45"/>
    <mergeCell ref="R45:T45"/>
    <mergeCell ref="A46:D46"/>
    <mergeCell ref="R46:T46"/>
    <mergeCell ref="A41:D41"/>
    <mergeCell ref="R41:T41"/>
    <mergeCell ref="A42:D42"/>
    <mergeCell ref="R42:T42"/>
    <mergeCell ref="A43:D43"/>
    <mergeCell ref="R43:T43"/>
    <mergeCell ref="A38:D38"/>
    <mergeCell ref="R38:T38"/>
    <mergeCell ref="A39:D39"/>
    <mergeCell ref="R39:T39"/>
    <mergeCell ref="A40:D40"/>
    <mergeCell ref="R40:T40"/>
    <mergeCell ref="A34:D34"/>
    <mergeCell ref="R34:T34"/>
    <mergeCell ref="A35:T35"/>
    <mergeCell ref="A36:T36"/>
    <mergeCell ref="A37:D37"/>
    <mergeCell ref="R37:T37"/>
    <mergeCell ref="A31:D31"/>
    <mergeCell ref="R31:T31"/>
    <mergeCell ref="A32:D32"/>
    <mergeCell ref="R32:T32"/>
    <mergeCell ref="A33:D33"/>
    <mergeCell ref="R33:T33"/>
    <mergeCell ref="A28:D28"/>
    <mergeCell ref="R28:T28"/>
    <mergeCell ref="A29:D29"/>
    <mergeCell ref="R29:T29"/>
    <mergeCell ref="A30:D30"/>
    <mergeCell ref="R30:T30"/>
    <mergeCell ref="A25:D25"/>
    <mergeCell ref="R25:T25"/>
    <mergeCell ref="A26:D26"/>
    <mergeCell ref="R26:T26"/>
    <mergeCell ref="A27:D27"/>
    <mergeCell ref="R27:T27"/>
    <mergeCell ref="A22:D22"/>
    <mergeCell ref="R22:T22"/>
    <mergeCell ref="A23:D23"/>
    <mergeCell ref="R23:T23"/>
    <mergeCell ref="A24:D24"/>
    <mergeCell ref="R24:T24"/>
    <mergeCell ref="A19:D19"/>
    <mergeCell ref="R19:T19"/>
    <mergeCell ref="A20:D20"/>
    <mergeCell ref="R20:T20"/>
    <mergeCell ref="A21:D21"/>
    <mergeCell ref="R21:T21"/>
    <mergeCell ref="A17:D17"/>
    <mergeCell ref="R17:T17"/>
    <mergeCell ref="A18:D18"/>
    <mergeCell ref="R18:T18"/>
    <mergeCell ref="A13:D13"/>
    <mergeCell ref="E13:G13"/>
    <mergeCell ref="H13:L13"/>
    <mergeCell ref="M13:Q13"/>
    <mergeCell ref="R13:T13"/>
    <mergeCell ref="A14:D14"/>
    <mergeCell ref="R14:T14"/>
    <mergeCell ref="B3:B4"/>
    <mergeCell ref="D4:R4"/>
    <mergeCell ref="B6:S6"/>
    <mergeCell ref="A8:R8"/>
    <mergeCell ref="A10:R10"/>
    <mergeCell ref="A12:T12"/>
    <mergeCell ref="A15:T15"/>
    <mergeCell ref="A16:D16"/>
    <mergeCell ref="R16:T16"/>
  </mergeCells>
  <printOptions horizontalCentered="1"/>
  <pageMargins left="0.3" right="0.1" top="0.5" bottom="0.5" header="0.5" footer="0.5"/>
  <pageSetup orientation="landscape" horizontalDpi="300" verticalDpi="300" r:id="rId1"/>
  <headerFooter alignWithMargins="0">
    <oddHeader>&amp;CATTACHMENT 7</oddHeader>
  </headerFooter>
  <rowBreaks count="4" manualBreakCount="4">
    <brk id="35" max="19" man="1"/>
    <brk id="135" max="19" man="1"/>
    <brk id="171" max="19" man="1"/>
    <brk id="20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showGridLines="0" view="pageBreakPreview" zoomScale="60" zoomScaleNormal="100" workbookViewId="0">
      <pane ySplit="1" topLeftCell="A2" activePane="bottomLeft" state="frozen"/>
      <selection pane="bottomLeft" activeCell="Z15" sqref="Z15"/>
    </sheetView>
  </sheetViews>
  <sheetFormatPr defaultRowHeight="15" x14ac:dyDescent="0.25"/>
  <cols>
    <col min="1" max="1" width="0.140625" style="16" customWidth="1"/>
    <col min="2" max="2" width="17.140625" style="16" customWidth="1"/>
    <col min="3" max="3" width="3.42578125" style="16" customWidth="1"/>
    <col min="4" max="4" width="3.7109375" style="16" customWidth="1"/>
    <col min="5" max="5" width="8.42578125" style="16" bestFit="1" customWidth="1"/>
    <col min="6" max="6" width="9.140625" style="16" customWidth="1"/>
    <col min="7" max="7" width="7.5703125" style="16" bestFit="1" customWidth="1"/>
    <col min="8" max="8" width="8.42578125" style="16" bestFit="1" customWidth="1"/>
    <col min="9" max="9" width="7.42578125" style="16" customWidth="1"/>
    <col min="10" max="10" width="6.85546875" style="16" customWidth="1"/>
    <col min="11" max="11" width="7" style="16" customWidth="1"/>
    <col min="12" max="12" width="8.42578125" style="16" customWidth="1"/>
    <col min="13" max="13" width="8" style="16" customWidth="1"/>
    <col min="14" max="14" width="5.85546875" style="16" customWidth="1"/>
    <col min="15" max="15" width="7.5703125" style="16" bestFit="1" customWidth="1"/>
    <col min="16" max="16" width="6.28515625" style="16" bestFit="1" customWidth="1"/>
    <col min="17" max="17" width="11.42578125" style="16" customWidth="1"/>
    <col min="18" max="18" width="5" style="16" customWidth="1"/>
    <col min="19" max="19" width="0.140625" style="16" customWidth="1"/>
    <col min="20" max="20" width="3.85546875" style="16" customWidth="1"/>
    <col min="21" max="21" width="8.28515625" style="16" customWidth="1"/>
    <col min="22" max="16384" width="9.140625" style="16"/>
  </cols>
  <sheetData>
    <row r="1" spans="1:21" ht="2.4500000000000002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1.35" customHeight="1" x14ac:dyDescent="0.25"/>
    <row r="3" spans="1:21" ht="18" customHeight="1" x14ac:dyDescent="0.25">
      <c r="B3" s="51"/>
    </row>
    <row r="4" spans="1:21" ht="18" customHeight="1" x14ac:dyDescent="0.25">
      <c r="B4" s="51"/>
      <c r="D4" s="52" t="s">
        <v>586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21" ht="3" customHeight="1" x14ac:dyDescent="0.25"/>
    <row r="6" spans="1:21" ht="31.5" customHeight="1" x14ac:dyDescent="0.25">
      <c r="B6" s="53" t="s">
        <v>587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21" ht="6" customHeight="1" x14ac:dyDescent="0.25"/>
    <row r="8" spans="1:21" ht="21.75" customHeight="1" x14ac:dyDescent="0.25">
      <c r="A8" s="54" t="s">
        <v>588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21" ht="3" customHeight="1" x14ac:dyDescent="0.25"/>
    <row r="10" spans="1:21" ht="18" customHeight="1" x14ac:dyDescent="0.25">
      <c r="A10" s="55" t="s">
        <v>762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21" ht="3.95" customHeight="1" x14ac:dyDescent="0.25"/>
    <row r="12" spans="1:21" ht="18" customHeight="1" x14ac:dyDescent="0.25">
      <c r="A12" s="56" t="s">
        <v>589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1" ht="18" customHeight="1" x14ac:dyDescent="0.25">
      <c r="A13" s="66" t="s">
        <v>590</v>
      </c>
      <c r="B13" s="58"/>
      <c r="C13" s="58"/>
      <c r="D13" s="58"/>
      <c r="E13" s="67" t="s">
        <v>591</v>
      </c>
      <c r="F13" s="58"/>
      <c r="G13" s="61"/>
      <c r="H13" s="67" t="s">
        <v>592</v>
      </c>
      <c r="I13" s="58"/>
      <c r="J13" s="58"/>
      <c r="K13" s="58"/>
      <c r="L13" s="61"/>
      <c r="M13" s="67" t="s">
        <v>593</v>
      </c>
      <c r="N13" s="58"/>
      <c r="O13" s="58"/>
      <c r="P13" s="58"/>
      <c r="Q13" s="61"/>
      <c r="R13" s="67" t="s">
        <v>594</v>
      </c>
      <c r="S13" s="58"/>
      <c r="T13" s="61"/>
    </row>
    <row r="14" spans="1:21" ht="27" x14ac:dyDescent="0.25">
      <c r="A14" s="68" t="s">
        <v>595</v>
      </c>
      <c r="B14" s="58"/>
      <c r="C14" s="58"/>
      <c r="D14" s="58"/>
      <c r="E14" s="17" t="s">
        <v>596</v>
      </c>
      <c r="F14" s="18" t="s">
        <v>597</v>
      </c>
      <c r="G14" s="18" t="s">
        <v>598</v>
      </c>
      <c r="H14" s="17" t="s">
        <v>599</v>
      </c>
      <c r="I14" s="18" t="s">
        <v>600</v>
      </c>
      <c r="J14" s="18" t="s">
        <v>601</v>
      </c>
      <c r="K14" s="18" t="s">
        <v>602</v>
      </c>
      <c r="L14" s="19" t="s">
        <v>603</v>
      </c>
      <c r="M14" s="17" t="s">
        <v>604</v>
      </c>
      <c r="N14" s="18" t="s">
        <v>605</v>
      </c>
      <c r="O14" s="18" t="s">
        <v>606</v>
      </c>
      <c r="P14" s="18" t="s">
        <v>607</v>
      </c>
      <c r="Q14" s="19" t="s">
        <v>608</v>
      </c>
      <c r="R14" s="69" t="s">
        <v>609</v>
      </c>
      <c r="S14" s="58"/>
      <c r="T14" s="61"/>
    </row>
    <row r="15" spans="1:21" ht="18" customHeight="1" x14ac:dyDescent="0.25">
      <c r="A15" s="57" t="s">
        <v>610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</row>
    <row r="16" spans="1:21" x14ac:dyDescent="0.25">
      <c r="A16" s="70" t="s">
        <v>611</v>
      </c>
      <c r="B16" s="58"/>
      <c r="C16" s="58"/>
      <c r="D16" s="58"/>
      <c r="E16" s="33">
        <v>950.31666800000005</v>
      </c>
      <c r="F16" s="34">
        <v>840</v>
      </c>
      <c r="G16" s="34">
        <v>110.31666800000001</v>
      </c>
      <c r="H16" s="33">
        <v>808.31666800000005</v>
      </c>
      <c r="I16" s="35">
        <v>34.866667</v>
      </c>
      <c r="J16" s="35">
        <v>0</v>
      </c>
      <c r="K16" s="35">
        <v>0</v>
      </c>
      <c r="L16" s="36">
        <v>843.18333500000006</v>
      </c>
      <c r="M16" s="33">
        <v>68.133332999999993</v>
      </c>
      <c r="N16" s="37">
        <v>24</v>
      </c>
      <c r="O16" s="35">
        <v>0</v>
      </c>
      <c r="P16" s="35">
        <v>15</v>
      </c>
      <c r="Q16" s="35">
        <v>107.13333299999999</v>
      </c>
      <c r="R16" s="71">
        <v>950.31666800000005</v>
      </c>
      <c r="S16" s="58"/>
      <c r="T16" s="61"/>
    </row>
    <row r="17" spans="1:20" x14ac:dyDescent="0.25">
      <c r="A17" s="70" t="s">
        <v>617</v>
      </c>
      <c r="B17" s="58"/>
      <c r="C17" s="58"/>
      <c r="D17" s="58"/>
      <c r="E17" s="33">
        <v>852.29999699999996</v>
      </c>
      <c r="F17" s="34">
        <v>840</v>
      </c>
      <c r="G17" s="34">
        <v>12.2999970000002</v>
      </c>
      <c r="H17" s="33">
        <v>788.29999699999996</v>
      </c>
      <c r="I17" s="35">
        <v>0</v>
      </c>
      <c r="J17" s="35">
        <v>0</v>
      </c>
      <c r="K17" s="35">
        <v>0</v>
      </c>
      <c r="L17" s="36">
        <v>788.29999699999996</v>
      </c>
      <c r="M17" s="33">
        <v>40</v>
      </c>
      <c r="N17" s="37">
        <v>24</v>
      </c>
      <c r="O17" s="35">
        <v>0</v>
      </c>
      <c r="P17" s="35">
        <v>0</v>
      </c>
      <c r="Q17" s="35">
        <v>64</v>
      </c>
      <c r="R17" s="71">
        <v>852.29999699999996</v>
      </c>
      <c r="S17" s="58"/>
      <c r="T17" s="61"/>
    </row>
    <row r="18" spans="1:20" x14ac:dyDescent="0.25">
      <c r="A18" s="70" t="s">
        <v>620</v>
      </c>
      <c r="B18" s="58"/>
      <c r="C18" s="58"/>
      <c r="D18" s="58"/>
      <c r="E18" s="33">
        <v>1307.4666689999999</v>
      </c>
      <c r="F18" s="34">
        <v>1680</v>
      </c>
      <c r="G18" s="34">
        <v>-372.53333099999998</v>
      </c>
      <c r="H18" s="33">
        <v>1244.3000010000001</v>
      </c>
      <c r="I18" s="35">
        <v>47.166668000000001</v>
      </c>
      <c r="J18" s="35">
        <v>0</v>
      </c>
      <c r="K18" s="35">
        <v>0</v>
      </c>
      <c r="L18" s="36">
        <v>1291.4666689999999</v>
      </c>
      <c r="M18" s="33">
        <v>0</v>
      </c>
      <c r="N18" s="37">
        <v>16</v>
      </c>
      <c r="O18" s="35">
        <v>0</v>
      </c>
      <c r="P18" s="35">
        <v>0</v>
      </c>
      <c r="Q18" s="35">
        <v>16</v>
      </c>
      <c r="R18" s="71">
        <v>1307.4666689999999</v>
      </c>
      <c r="S18" s="58"/>
      <c r="T18" s="61"/>
    </row>
    <row r="19" spans="1:20" x14ac:dyDescent="0.25">
      <c r="A19" s="70" t="s">
        <v>624</v>
      </c>
      <c r="B19" s="58"/>
      <c r="C19" s="58"/>
      <c r="D19" s="58"/>
      <c r="E19" s="33">
        <v>835.54999799999996</v>
      </c>
      <c r="F19" s="34">
        <v>840</v>
      </c>
      <c r="G19" s="34">
        <v>-4.4500019999998104</v>
      </c>
      <c r="H19" s="33">
        <v>738.04999799999996</v>
      </c>
      <c r="I19" s="35">
        <v>0</v>
      </c>
      <c r="J19" s="35">
        <v>0</v>
      </c>
      <c r="K19" s="35">
        <v>0</v>
      </c>
      <c r="L19" s="36">
        <v>738.04999799999996</v>
      </c>
      <c r="M19" s="33">
        <v>69.5</v>
      </c>
      <c r="N19" s="37">
        <v>24</v>
      </c>
      <c r="O19" s="35">
        <v>0</v>
      </c>
      <c r="P19" s="35">
        <v>4</v>
      </c>
      <c r="Q19" s="35">
        <v>97.5</v>
      </c>
      <c r="R19" s="71">
        <v>835.54999799999996</v>
      </c>
      <c r="S19" s="58"/>
      <c r="T19" s="61"/>
    </row>
    <row r="20" spans="1:20" x14ac:dyDescent="0.25">
      <c r="A20" s="72" t="s">
        <v>627</v>
      </c>
      <c r="B20" s="58"/>
      <c r="C20" s="58"/>
      <c r="D20" s="58"/>
      <c r="E20" s="38">
        <v>3945.6333319999999</v>
      </c>
      <c r="F20" s="39">
        <v>4200</v>
      </c>
      <c r="G20" s="40">
        <v>-254.366668</v>
      </c>
      <c r="H20" s="38">
        <v>3578.966664</v>
      </c>
      <c r="I20" s="40">
        <v>82.033334999999994</v>
      </c>
      <c r="J20" s="40">
        <v>0</v>
      </c>
      <c r="K20" s="40">
        <v>0</v>
      </c>
      <c r="L20" s="41">
        <v>3660.9999990000001</v>
      </c>
      <c r="M20" s="38">
        <v>177.63333299999999</v>
      </c>
      <c r="N20" s="42">
        <v>88</v>
      </c>
      <c r="O20" s="43">
        <v>0</v>
      </c>
      <c r="P20" s="43">
        <v>19</v>
      </c>
      <c r="Q20" s="43">
        <v>284.63333299999999</v>
      </c>
      <c r="R20" s="73">
        <v>3945.6333319999999</v>
      </c>
      <c r="S20" s="58"/>
      <c r="T20" s="61"/>
    </row>
    <row r="21" spans="1:20" ht="3.95" customHeight="1" x14ac:dyDescent="0.25">
      <c r="A21" s="74" t="s">
        <v>612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1:20" ht="18" customHeight="1" x14ac:dyDescent="0.25">
      <c r="A22" s="57" t="s">
        <v>628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1:20" x14ac:dyDescent="0.25">
      <c r="A23" s="70" t="s">
        <v>629</v>
      </c>
      <c r="B23" s="58"/>
      <c r="C23" s="58"/>
      <c r="D23" s="58"/>
      <c r="E23" s="33">
        <v>872.10000500000001</v>
      </c>
      <c r="F23" s="34">
        <v>840</v>
      </c>
      <c r="G23" s="34">
        <v>32.100005000000003</v>
      </c>
      <c r="H23" s="33">
        <v>802.35000500000001</v>
      </c>
      <c r="I23" s="35">
        <v>0.75</v>
      </c>
      <c r="J23" s="35">
        <v>0</v>
      </c>
      <c r="K23" s="35">
        <v>0</v>
      </c>
      <c r="L23" s="36">
        <v>803.10000500000001</v>
      </c>
      <c r="M23" s="33">
        <v>43.5</v>
      </c>
      <c r="N23" s="37">
        <v>24</v>
      </c>
      <c r="O23" s="35">
        <v>1.5</v>
      </c>
      <c r="P23" s="35">
        <v>0</v>
      </c>
      <c r="Q23" s="35">
        <v>69</v>
      </c>
      <c r="R23" s="71">
        <v>872.10000500000001</v>
      </c>
      <c r="S23" s="58"/>
      <c r="T23" s="61"/>
    </row>
    <row r="24" spans="1:20" x14ac:dyDescent="0.25">
      <c r="A24" s="70" t="s">
        <v>632</v>
      </c>
      <c r="B24" s="58"/>
      <c r="C24" s="58"/>
      <c r="D24" s="58"/>
      <c r="E24" s="33">
        <v>934.66667199999995</v>
      </c>
      <c r="F24" s="34">
        <v>840</v>
      </c>
      <c r="G24" s="34">
        <v>94.666672000000105</v>
      </c>
      <c r="H24" s="33">
        <v>845.16667199999995</v>
      </c>
      <c r="I24" s="35">
        <v>0</v>
      </c>
      <c r="J24" s="35">
        <v>0</v>
      </c>
      <c r="K24" s="35">
        <v>0</v>
      </c>
      <c r="L24" s="36">
        <v>845.16667199999995</v>
      </c>
      <c r="M24" s="33">
        <v>64</v>
      </c>
      <c r="N24" s="37">
        <v>24</v>
      </c>
      <c r="O24" s="35">
        <v>1.5</v>
      </c>
      <c r="P24" s="35">
        <v>0</v>
      </c>
      <c r="Q24" s="35">
        <v>89.5</v>
      </c>
      <c r="R24" s="71">
        <v>934.66667199999995</v>
      </c>
      <c r="S24" s="58"/>
      <c r="T24" s="61"/>
    </row>
    <row r="25" spans="1:20" x14ac:dyDescent="0.25">
      <c r="A25" s="72" t="s">
        <v>637</v>
      </c>
      <c r="B25" s="58"/>
      <c r="C25" s="58"/>
      <c r="D25" s="58"/>
      <c r="E25" s="38">
        <v>1806.7666770000001</v>
      </c>
      <c r="F25" s="39">
        <v>1680</v>
      </c>
      <c r="G25" s="40">
        <v>126.766677</v>
      </c>
      <c r="H25" s="38">
        <v>1647.5166770000001</v>
      </c>
      <c r="I25" s="40">
        <v>0.75</v>
      </c>
      <c r="J25" s="40">
        <v>0</v>
      </c>
      <c r="K25" s="40">
        <v>0</v>
      </c>
      <c r="L25" s="41">
        <v>1648.2666770000001</v>
      </c>
      <c r="M25" s="38">
        <v>107.5</v>
      </c>
      <c r="N25" s="42">
        <v>48</v>
      </c>
      <c r="O25" s="43">
        <v>3</v>
      </c>
      <c r="P25" s="43">
        <v>0</v>
      </c>
      <c r="Q25" s="43">
        <v>158.5</v>
      </c>
      <c r="R25" s="73">
        <v>1806.7666770000001</v>
      </c>
      <c r="S25" s="58"/>
      <c r="T25" s="61"/>
    </row>
    <row r="26" spans="1:20" ht="3.95" customHeight="1" x14ac:dyDescent="0.25">
      <c r="A26" s="74" t="s">
        <v>612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1:20" ht="18" customHeight="1" x14ac:dyDescent="0.25">
      <c r="A27" s="57" t="s">
        <v>11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</row>
    <row r="28" spans="1:20" x14ac:dyDescent="0.25">
      <c r="A28" s="70" t="s">
        <v>638</v>
      </c>
      <c r="B28" s="58"/>
      <c r="C28" s="58"/>
      <c r="D28" s="58"/>
      <c r="E28" s="33">
        <v>12008.650011</v>
      </c>
      <c r="F28" s="34">
        <v>10584</v>
      </c>
      <c r="G28" s="34">
        <v>1424.6500109999999</v>
      </c>
      <c r="H28" s="33">
        <v>10754.750015</v>
      </c>
      <c r="I28" s="35">
        <v>201.56666300000001</v>
      </c>
      <c r="J28" s="35">
        <v>0</v>
      </c>
      <c r="K28" s="35">
        <v>0</v>
      </c>
      <c r="L28" s="36">
        <v>10956.316677999999</v>
      </c>
      <c r="M28" s="33">
        <v>387.316667</v>
      </c>
      <c r="N28" s="37">
        <v>368</v>
      </c>
      <c r="O28" s="35">
        <v>189.76666599999999</v>
      </c>
      <c r="P28" s="35">
        <v>107.25</v>
      </c>
      <c r="Q28" s="35">
        <v>1052.333333</v>
      </c>
      <c r="R28" s="71">
        <v>12008.650011</v>
      </c>
      <c r="S28" s="58"/>
      <c r="T28" s="61"/>
    </row>
    <row r="29" spans="1:20" x14ac:dyDescent="0.25">
      <c r="A29" s="70" t="s">
        <v>670</v>
      </c>
      <c r="B29" s="58"/>
      <c r="C29" s="58"/>
      <c r="D29" s="58"/>
      <c r="E29" s="33">
        <v>201.25000199999999</v>
      </c>
      <c r="F29" s="34">
        <v>210</v>
      </c>
      <c r="G29" s="34">
        <v>-8.7499980000000104</v>
      </c>
      <c r="H29" s="33">
        <v>147.933334</v>
      </c>
      <c r="I29" s="35">
        <v>0</v>
      </c>
      <c r="J29" s="35">
        <v>0</v>
      </c>
      <c r="K29" s="35">
        <v>0</v>
      </c>
      <c r="L29" s="36">
        <v>147.933334</v>
      </c>
      <c r="M29" s="33">
        <v>0</v>
      </c>
      <c r="N29" s="37">
        <v>0</v>
      </c>
      <c r="O29" s="35">
        <v>53.316668</v>
      </c>
      <c r="P29" s="35">
        <v>0</v>
      </c>
      <c r="Q29" s="35">
        <v>53.316668</v>
      </c>
      <c r="R29" s="71">
        <v>201.25000199999999</v>
      </c>
      <c r="S29" s="58"/>
      <c r="T29" s="61"/>
    </row>
    <row r="30" spans="1:20" x14ac:dyDescent="0.25">
      <c r="A30" s="70" t="s">
        <v>679</v>
      </c>
      <c r="B30" s="58"/>
      <c r="C30" s="58"/>
      <c r="D30" s="58"/>
      <c r="E30" s="33">
        <v>1098.416663</v>
      </c>
      <c r="F30" s="34">
        <v>1176</v>
      </c>
      <c r="G30" s="34">
        <v>-77.583337</v>
      </c>
      <c r="H30" s="33">
        <v>960.71666500000003</v>
      </c>
      <c r="I30" s="35">
        <v>13.283333000000001</v>
      </c>
      <c r="J30" s="35">
        <v>0</v>
      </c>
      <c r="K30" s="35">
        <v>0</v>
      </c>
      <c r="L30" s="36">
        <v>973.99999800000001</v>
      </c>
      <c r="M30" s="33">
        <v>64</v>
      </c>
      <c r="N30" s="37">
        <v>24</v>
      </c>
      <c r="O30" s="35">
        <v>36.416665000000002</v>
      </c>
      <c r="P30" s="35">
        <v>0</v>
      </c>
      <c r="Q30" s="35">
        <v>124.41666499999999</v>
      </c>
      <c r="R30" s="71">
        <v>1098.416663</v>
      </c>
      <c r="S30" s="58"/>
      <c r="T30" s="61"/>
    </row>
    <row r="31" spans="1:20" x14ac:dyDescent="0.25">
      <c r="A31" s="70" t="s">
        <v>685</v>
      </c>
      <c r="B31" s="58"/>
      <c r="C31" s="58"/>
      <c r="D31" s="58"/>
      <c r="E31" s="33">
        <v>42.25</v>
      </c>
      <c r="F31" s="34">
        <v>0</v>
      </c>
      <c r="G31" s="34">
        <v>42.25</v>
      </c>
      <c r="H31" s="33">
        <v>11.7</v>
      </c>
      <c r="I31" s="35">
        <v>0</v>
      </c>
      <c r="J31" s="35">
        <v>0</v>
      </c>
      <c r="K31" s="35">
        <v>0</v>
      </c>
      <c r="L31" s="36">
        <v>11.7</v>
      </c>
      <c r="M31" s="33">
        <v>0</v>
      </c>
      <c r="N31" s="37">
        <v>0</v>
      </c>
      <c r="O31" s="35">
        <v>30.55</v>
      </c>
      <c r="P31" s="35">
        <v>0</v>
      </c>
      <c r="Q31" s="35">
        <v>30.55</v>
      </c>
      <c r="R31" s="71">
        <v>42.25</v>
      </c>
      <c r="S31" s="58"/>
      <c r="T31" s="61"/>
    </row>
    <row r="32" spans="1:20" x14ac:dyDescent="0.25">
      <c r="A32" s="70" t="s">
        <v>687</v>
      </c>
      <c r="B32" s="58"/>
      <c r="C32" s="58"/>
      <c r="D32" s="58"/>
      <c r="E32" s="33">
        <v>10555.183344999999</v>
      </c>
      <c r="F32" s="34">
        <v>8820</v>
      </c>
      <c r="G32" s="34">
        <v>1735.1833449999999</v>
      </c>
      <c r="H32" s="33">
        <v>9350.4166819999991</v>
      </c>
      <c r="I32" s="35">
        <v>111.833332</v>
      </c>
      <c r="J32" s="35">
        <v>0</v>
      </c>
      <c r="K32" s="35">
        <v>0</v>
      </c>
      <c r="L32" s="36">
        <v>9462.2500139999993</v>
      </c>
      <c r="M32" s="33">
        <v>212.4</v>
      </c>
      <c r="N32" s="37">
        <v>248</v>
      </c>
      <c r="O32" s="35">
        <v>543.11666500000001</v>
      </c>
      <c r="P32" s="35">
        <v>89.416666000000006</v>
      </c>
      <c r="Q32" s="35">
        <v>1092.933331</v>
      </c>
      <c r="R32" s="71">
        <v>10555.183344999999</v>
      </c>
      <c r="S32" s="58"/>
      <c r="T32" s="61"/>
    </row>
    <row r="33" spans="1:20" x14ac:dyDescent="0.25">
      <c r="A33" s="72" t="s">
        <v>711</v>
      </c>
      <c r="B33" s="58"/>
      <c r="C33" s="58"/>
      <c r="D33" s="58"/>
      <c r="E33" s="38">
        <v>23905.750021</v>
      </c>
      <c r="F33" s="39">
        <v>20790</v>
      </c>
      <c r="G33" s="40">
        <v>3115.7500209999998</v>
      </c>
      <c r="H33" s="38">
        <v>21225.516695999999</v>
      </c>
      <c r="I33" s="40">
        <v>326.68332800000002</v>
      </c>
      <c r="J33" s="40">
        <v>0</v>
      </c>
      <c r="K33" s="40">
        <v>0</v>
      </c>
      <c r="L33" s="41">
        <v>21552.200024000002</v>
      </c>
      <c r="M33" s="38">
        <v>663.71666700000003</v>
      </c>
      <c r="N33" s="42">
        <v>640</v>
      </c>
      <c r="O33" s="43">
        <v>853.16666399999997</v>
      </c>
      <c r="P33" s="43">
        <v>196.66666599999999</v>
      </c>
      <c r="Q33" s="43">
        <v>2353.5499970000001</v>
      </c>
      <c r="R33" s="73">
        <v>23905.750021</v>
      </c>
      <c r="S33" s="58"/>
      <c r="T33" s="61"/>
    </row>
    <row r="34" spans="1:20" ht="3.95" customHeight="1" x14ac:dyDescent="0.25">
      <c r="A34" s="74" t="s">
        <v>612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</row>
    <row r="35" spans="1:20" ht="18" customHeight="1" x14ac:dyDescent="0.25">
      <c r="A35" s="57" t="s">
        <v>712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</row>
    <row r="36" spans="1:20" x14ac:dyDescent="0.25">
      <c r="A36" s="70" t="s">
        <v>713</v>
      </c>
      <c r="B36" s="58"/>
      <c r="C36" s="58"/>
      <c r="D36" s="58"/>
      <c r="E36" s="33">
        <v>3613.216664</v>
      </c>
      <c r="F36" s="34">
        <v>3528</v>
      </c>
      <c r="G36" s="34">
        <v>85.216664000000506</v>
      </c>
      <c r="H36" s="33">
        <v>3216.649997</v>
      </c>
      <c r="I36" s="35">
        <v>92.983333999999999</v>
      </c>
      <c r="J36" s="35">
        <v>0</v>
      </c>
      <c r="K36" s="35">
        <v>0</v>
      </c>
      <c r="L36" s="36">
        <v>3309.633331</v>
      </c>
      <c r="M36" s="33">
        <v>62.5</v>
      </c>
      <c r="N36" s="37">
        <v>112</v>
      </c>
      <c r="O36" s="35">
        <v>110.083333</v>
      </c>
      <c r="P36" s="35">
        <v>19</v>
      </c>
      <c r="Q36" s="35">
        <v>303.58333299999998</v>
      </c>
      <c r="R36" s="71">
        <v>3613.216664</v>
      </c>
      <c r="S36" s="58"/>
      <c r="T36" s="61"/>
    </row>
    <row r="37" spans="1:20" x14ac:dyDescent="0.25">
      <c r="A37" s="70" t="s">
        <v>722</v>
      </c>
      <c r="B37" s="58"/>
      <c r="C37" s="58"/>
      <c r="D37" s="58"/>
      <c r="E37" s="33">
        <v>890.08333100000004</v>
      </c>
      <c r="F37" s="34">
        <v>840</v>
      </c>
      <c r="G37" s="34">
        <v>50.083331000000001</v>
      </c>
      <c r="H37" s="33">
        <v>812.08333100000004</v>
      </c>
      <c r="I37" s="35">
        <v>6</v>
      </c>
      <c r="J37" s="35">
        <v>0</v>
      </c>
      <c r="K37" s="35">
        <v>0</v>
      </c>
      <c r="L37" s="36">
        <v>818.08333100000004</v>
      </c>
      <c r="M37" s="33">
        <v>48</v>
      </c>
      <c r="N37" s="37">
        <v>24</v>
      </c>
      <c r="O37" s="35">
        <v>0</v>
      </c>
      <c r="P37" s="35">
        <v>0</v>
      </c>
      <c r="Q37" s="35">
        <v>72</v>
      </c>
      <c r="R37" s="71">
        <v>890.08333100000004</v>
      </c>
      <c r="S37" s="58"/>
      <c r="T37" s="61"/>
    </row>
    <row r="38" spans="1:20" x14ac:dyDescent="0.25">
      <c r="A38" s="70" t="s">
        <v>725</v>
      </c>
      <c r="B38" s="58"/>
      <c r="C38" s="58"/>
      <c r="D38" s="58"/>
      <c r="E38" s="33">
        <v>4325.3833269999996</v>
      </c>
      <c r="F38" s="34">
        <v>5124</v>
      </c>
      <c r="G38" s="34">
        <v>-798.61667299999999</v>
      </c>
      <c r="H38" s="33">
        <v>3732.2833260000002</v>
      </c>
      <c r="I38" s="35">
        <v>213.5</v>
      </c>
      <c r="J38" s="35">
        <v>0</v>
      </c>
      <c r="K38" s="35">
        <v>0</v>
      </c>
      <c r="L38" s="36">
        <v>3945.7833260000002</v>
      </c>
      <c r="M38" s="33">
        <v>74.3</v>
      </c>
      <c r="N38" s="37">
        <v>112</v>
      </c>
      <c r="O38" s="35">
        <v>132.533334</v>
      </c>
      <c r="P38" s="35">
        <v>60.766666999999998</v>
      </c>
      <c r="Q38" s="35">
        <v>379.60000100000002</v>
      </c>
      <c r="R38" s="71">
        <v>4325.3833269999996</v>
      </c>
      <c r="S38" s="58"/>
      <c r="T38" s="61"/>
    </row>
    <row r="39" spans="1:20" x14ac:dyDescent="0.25">
      <c r="A39" s="70" t="s">
        <v>744</v>
      </c>
      <c r="B39" s="58"/>
      <c r="C39" s="58"/>
      <c r="D39" s="58"/>
      <c r="E39" s="33">
        <v>0</v>
      </c>
      <c r="F39" s="34">
        <v>156</v>
      </c>
      <c r="G39" s="34">
        <v>-156</v>
      </c>
      <c r="H39" s="33">
        <v>0</v>
      </c>
      <c r="I39" s="35">
        <v>0</v>
      </c>
      <c r="J39" s="35">
        <v>0</v>
      </c>
      <c r="K39" s="35">
        <v>0</v>
      </c>
      <c r="L39" s="36">
        <v>0</v>
      </c>
      <c r="M39" s="33">
        <v>0</v>
      </c>
      <c r="N39" s="37">
        <v>0</v>
      </c>
      <c r="O39" s="35">
        <v>0</v>
      </c>
      <c r="P39" s="35">
        <v>0</v>
      </c>
      <c r="Q39" s="35">
        <v>0</v>
      </c>
      <c r="R39" s="71">
        <v>0</v>
      </c>
      <c r="S39" s="58"/>
      <c r="T39" s="61"/>
    </row>
    <row r="40" spans="1:20" x14ac:dyDescent="0.25">
      <c r="A40" s="70" t="s">
        <v>748</v>
      </c>
      <c r="B40" s="58"/>
      <c r="C40" s="58"/>
      <c r="D40" s="58"/>
      <c r="E40" s="33">
        <v>571</v>
      </c>
      <c r="F40" s="34">
        <v>552</v>
      </c>
      <c r="G40" s="34">
        <v>19</v>
      </c>
      <c r="H40" s="33">
        <v>555</v>
      </c>
      <c r="I40" s="35">
        <v>0</v>
      </c>
      <c r="J40" s="35">
        <v>0</v>
      </c>
      <c r="K40" s="35">
        <v>0</v>
      </c>
      <c r="L40" s="36">
        <v>555</v>
      </c>
      <c r="M40" s="33">
        <v>0</v>
      </c>
      <c r="N40" s="37">
        <v>16</v>
      </c>
      <c r="O40" s="35">
        <v>0</v>
      </c>
      <c r="P40" s="35">
        <v>0</v>
      </c>
      <c r="Q40" s="35">
        <v>16</v>
      </c>
      <c r="R40" s="71">
        <v>571</v>
      </c>
      <c r="S40" s="58"/>
      <c r="T40" s="61"/>
    </row>
    <row r="41" spans="1:20" x14ac:dyDescent="0.25">
      <c r="A41" s="72" t="s">
        <v>752</v>
      </c>
      <c r="B41" s="58"/>
      <c r="C41" s="58"/>
      <c r="D41" s="58"/>
      <c r="E41" s="38">
        <v>9399.6833220000008</v>
      </c>
      <c r="F41" s="39">
        <v>10200</v>
      </c>
      <c r="G41" s="40">
        <v>-800.316677999999</v>
      </c>
      <c r="H41" s="38">
        <v>8316.0166539999991</v>
      </c>
      <c r="I41" s="40">
        <v>312.48333400000001</v>
      </c>
      <c r="J41" s="40">
        <v>0</v>
      </c>
      <c r="K41" s="40">
        <v>0</v>
      </c>
      <c r="L41" s="41">
        <v>8628.4999879999996</v>
      </c>
      <c r="M41" s="38">
        <v>184.8</v>
      </c>
      <c r="N41" s="42">
        <v>264</v>
      </c>
      <c r="O41" s="43">
        <v>242.61666700000001</v>
      </c>
      <c r="P41" s="43">
        <v>79.766666999999998</v>
      </c>
      <c r="Q41" s="43">
        <v>771.18333399999995</v>
      </c>
      <c r="R41" s="73">
        <v>9399.6833220000008</v>
      </c>
      <c r="S41" s="58"/>
      <c r="T41" s="61"/>
    </row>
    <row r="42" spans="1:20" ht="3.95" customHeight="1" x14ac:dyDescent="0.25">
      <c r="A42" s="74" t="s">
        <v>612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</row>
    <row r="43" spans="1:20" ht="18" customHeight="1" x14ac:dyDescent="0.25">
      <c r="A43" s="57" t="s">
        <v>753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x14ac:dyDescent="0.25">
      <c r="A44" s="70" t="s">
        <v>754</v>
      </c>
      <c r="B44" s="58"/>
      <c r="C44" s="58"/>
      <c r="D44" s="58"/>
      <c r="E44" s="33">
        <v>914.8</v>
      </c>
      <c r="F44" s="34">
        <v>840</v>
      </c>
      <c r="G44" s="34">
        <v>74.800000000000296</v>
      </c>
      <c r="H44" s="33">
        <v>846.96666800000003</v>
      </c>
      <c r="I44" s="35">
        <v>59.833331999999999</v>
      </c>
      <c r="J44" s="35">
        <v>0</v>
      </c>
      <c r="K44" s="35">
        <v>0</v>
      </c>
      <c r="L44" s="36">
        <v>906.8</v>
      </c>
      <c r="M44" s="33">
        <v>0</v>
      </c>
      <c r="N44" s="37">
        <v>8</v>
      </c>
      <c r="O44" s="35">
        <v>0</v>
      </c>
      <c r="P44" s="35">
        <v>0</v>
      </c>
      <c r="Q44" s="35">
        <v>8</v>
      </c>
      <c r="R44" s="71">
        <v>914.8</v>
      </c>
      <c r="S44" s="58"/>
      <c r="T44" s="61"/>
    </row>
    <row r="45" spans="1:20" x14ac:dyDescent="0.25">
      <c r="A45" s="72" t="s">
        <v>756</v>
      </c>
      <c r="B45" s="58"/>
      <c r="C45" s="58"/>
      <c r="D45" s="58"/>
      <c r="E45" s="38">
        <v>914.8</v>
      </c>
      <c r="F45" s="39">
        <v>840</v>
      </c>
      <c r="G45" s="40">
        <v>74.800000000000296</v>
      </c>
      <c r="H45" s="38">
        <v>846.96666800000003</v>
      </c>
      <c r="I45" s="40">
        <v>59.833331999999999</v>
      </c>
      <c r="J45" s="40">
        <v>0</v>
      </c>
      <c r="K45" s="40">
        <v>0</v>
      </c>
      <c r="L45" s="41">
        <v>906.8</v>
      </c>
      <c r="M45" s="38">
        <v>0</v>
      </c>
      <c r="N45" s="42">
        <v>8</v>
      </c>
      <c r="O45" s="43">
        <v>0</v>
      </c>
      <c r="P45" s="43">
        <v>0</v>
      </c>
      <c r="Q45" s="43">
        <v>8</v>
      </c>
      <c r="R45" s="73">
        <v>914.8</v>
      </c>
      <c r="S45" s="58"/>
      <c r="T45" s="61"/>
    </row>
    <row r="46" spans="1:20" ht="3.95" customHeight="1" x14ac:dyDescent="0.25">
      <c r="A46" s="74" t="s">
        <v>612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</row>
    <row r="47" spans="1:20" ht="18" customHeight="1" x14ac:dyDescent="0.25">
      <c r="A47" s="57" t="s">
        <v>757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</row>
    <row r="48" spans="1:20" x14ac:dyDescent="0.25">
      <c r="A48" s="70" t="s">
        <v>758</v>
      </c>
      <c r="B48" s="58"/>
      <c r="C48" s="58"/>
      <c r="D48" s="58"/>
      <c r="E48" s="33">
        <v>875.50000199999999</v>
      </c>
      <c r="F48" s="34">
        <v>840</v>
      </c>
      <c r="G48" s="34">
        <v>35.500001999999803</v>
      </c>
      <c r="H48" s="33">
        <v>807.63333299999999</v>
      </c>
      <c r="I48" s="35">
        <v>3.8666689999999999</v>
      </c>
      <c r="J48" s="35">
        <v>0</v>
      </c>
      <c r="K48" s="35">
        <v>0</v>
      </c>
      <c r="L48" s="36">
        <v>811.50000199999999</v>
      </c>
      <c r="M48" s="33">
        <v>40</v>
      </c>
      <c r="N48" s="37">
        <v>24</v>
      </c>
      <c r="O48" s="35">
        <v>0</v>
      </c>
      <c r="P48" s="35">
        <v>0</v>
      </c>
      <c r="Q48" s="35">
        <v>64</v>
      </c>
      <c r="R48" s="71">
        <v>875.50000199999999</v>
      </c>
      <c r="S48" s="58"/>
      <c r="T48" s="61"/>
    </row>
    <row r="49" spans="1:20" x14ac:dyDescent="0.25">
      <c r="A49" s="72" t="s">
        <v>761</v>
      </c>
      <c r="B49" s="58"/>
      <c r="C49" s="58"/>
      <c r="D49" s="58"/>
      <c r="E49" s="38">
        <v>875.50000199999999</v>
      </c>
      <c r="F49" s="39">
        <v>840</v>
      </c>
      <c r="G49" s="40">
        <v>35.500001999999803</v>
      </c>
      <c r="H49" s="38">
        <v>807.63333299999999</v>
      </c>
      <c r="I49" s="40">
        <v>3.8666689999999999</v>
      </c>
      <c r="J49" s="40">
        <v>0</v>
      </c>
      <c r="K49" s="40">
        <v>0</v>
      </c>
      <c r="L49" s="41">
        <v>811.50000199999999</v>
      </c>
      <c r="M49" s="38">
        <v>40</v>
      </c>
      <c r="N49" s="42">
        <v>24</v>
      </c>
      <c r="O49" s="43">
        <v>0</v>
      </c>
      <c r="P49" s="43">
        <v>0</v>
      </c>
      <c r="Q49" s="43">
        <v>64</v>
      </c>
      <c r="R49" s="73">
        <v>875.50000199999999</v>
      </c>
      <c r="S49" s="58"/>
      <c r="T49" s="61"/>
    </row>
    <row r="50" spans="1:20" ht="3.95" customHeight="1" x14ac:dyDescent="0.25">
      <c r="A50" s="74" t="s">
        <v>612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</row>
    <row r="51" spans="1:20" x14ac:dyDescent="0.25">
      <c r="A51" s="75" t="s">
        <v>579</v>
      </c>
      <c r="B51" s="58"/>
      <c r="C51" s="58"/>
      <c r="D51" s="58"/>
      <c r="E51" s="44">
        <v>40848.133353999998</v>
      </c>
      <c r="F51" s="44">
        <v>38550</v>
      </c>
      <c r="G51" s="44">
        <v>2298.1333540000001</v>
      </c>
      <c r="H51" s="44">
        <v>36422.616692000003</v>
      </c>
      <c r="I51" s="44">
        <v>785.64999799999998</v>
      </c>
      <c r="J51" s="45" t="s">
        <v>612</v>
      </c>
      <c r="K51" s="45" t="s">
        <v>612</v>
      </c>
      <c r="L51" s="44">
        <v>37208.266689999997</v>
      </c>
      <c r="M51" s="44">
        <v>1173.6500000000001</v>
      </c>
      <c r="N51" s="44">
        <v>1072</v>
      </c>
      <c r="O51" s="44">
        <v>1098.7833310000001</v>
      </c>
      <c r="P51" s="44">
        <v>295.433333</v>
      </c>
      <c r="Q51" s="44">
        <v>3639.8666640000001</v>
      </c>
      <c r="R51" s="76">
        <v>40848.133353999998</v>
      </c>
      <c r="S51" s="58"/>
      <c r="T51" s="58"/>
    </row>
  </sheetData>
  <mergeCells count="75">
    <mergeCell ref="A50:T50"/>
    <mergeCell ref="A51:D51"/>
    <mergeCell ref="R51:T51"/>
    <mergeCell ref="A46:T46"/>
    <mergeCell ref="A47:T47"/>
    <mergeCell ref="A48:D48"/>
    <mergeCell ref="R48:T48"/>
    <mergeCell ref="A49:D49"/>
    <mergeCell ref="R49:T49"/>
    <mergeCell ref="A42:T42"/>
    <mergeCell ref="A43:T43"/>
    <mergeCell ref="A44:D44"/>
    <mergeCell ref="R44:T44"/>
    <mergeCell ref="A45:D45"/>
    <mergeCell ref="R45:T45"/>
    <mergeCell ref="A39:D39"/>
    <mergeCell ref="R39:T39"/>
    <mergeCell ref="A40:D40"/>
    <mergeCell ref="R40:T40"/>
    <mergeCell ref="A41:D41"/>
    <mergeCell ref="R41:T41"/>
    <mergeCell ref="A36:D36"/>
    <mergeCell ref="R36:T36"/>
    <mergeCell ref="A37:D37"/>
    <mergeCell ref="R37:T37"/>
    <mergeCell ref="A38:D38"/>
    <mergeCell ref="R38:T38"/>
    <mergeCell ref="A27:T27"/>
    <mergeCell ref="A28:D28"/>
    <mergeCell ref="R28:T28"/>
    <mergeCell ref="A35:T35"/>
    <mergeCell ref="A29:D29"/>
    <mergeCell ref="R29:T29"/>
    <mergeCell ref="A30:D30"/>
    <mergeCell ref="R30:T30"/>
    <mergeCell ref="A31:D31"/>
    <mergeCell ref="R31:T31"/>
    <mergeCell ref="A32:D32"/>
    <mergeCell ref="R32:T32"/>
    <mergeCell ref="A33:D33"/>
    <mergeCell ref="R33:T33"/>
    <mergeCell ref="A34:T34"/>
    <mergeCell ref="A24:D24"/>
    <mergeCell ref="R24:T24"/>
    <mergeCell ref="A25:D25"/>
    <mergeCell ref="R25:T25"/>
    <mergeCell ref="A26:T26"/>
    <mergeCell ref="A20:D20"/>
    <mergeCell ref="R20:T20"/>
    <mergeCell ref="A21:T21"/>
    <mergeCell ref="A22:T22"/>
    <mergeCell ref="A23:D23"/>
    <mergeCell ref="R23:T23"/>
    <mergeCell ref="A16:D16"/>
    <mergeCell ref="R16:T16"/>
    <mergeCell ref="A18:D18"/>
    <mergeCell ref="R18:T18"/>
    <mergeCell ref="A19:D19"/>
    <mergeCell ref="R19:T19"/>
    <mergeCell ref="B3:B4"/>
    <mergeCell ref="D4:R4"/>
    <mergeCell ref="A17:D17"/>
    <mergeCell ref="R17:T17"/>
    <mergeCell ref="B6:S6"/>
    <mergeCell ref="A8:R8"/>
    <mergeCell ref="A10:R10"/>
    <mergeCell ref="A12:T12"/>
    <mergeCell ref="A13:D13"/>
    <mergeCell ref="E13:G13"/>
    <mergeCell ref="H13:L13"/>
    <mergeCell ref="M13:Q13"/>
    <mergeCell ref="R13:T13"/>
    <mergeCell ref="A14:D14"/>
    <mergeCell ref="R14:T14"/>
    <mergeCell ref="A15:T15"/>
  </mergeCells>
  <pageMargins left="0.3" right="0.1" top="0.5" bottom="0.5" header="0.5" footer="0.5"/>
  <pageSetup orientation="landscape" horizontalDpi="300" verticalDpi="300" r:id="rId1"/>
  <headerFooter alignWithMargins="0"/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"/>
  <sheetViews>
    <sheetView view="pageBreakPreview" zoomScale="60" zoomScaleNormal="100" workbookViewId="0">
      <selection activeCell="I13" sqref="I13"/>
    </sheetView>
  </sheetViews>
  <sheetFormatPr defaultRowHeight="15" x14ac:dyDescent="0.25"/>
  <cols>
    <col min="1" max="1" width="30.85546875" bestFit="1" customWidth="1"/>
    <col min="2" max="2" width="16.42578125" style="14" bestFit="1" customWidth="1"/>
    <col min="3" max="3" width="11.5703125" style="14" bestFit="1" customWidth="1"/>
    <col min="4" max="4" width="10.5703125" style="14" bestFit="1" customWidth="1"/>
    <col min="5" max="5" width="16.85546875" style="14" customWidth="1"/>
  </cols>
  <sheetData>
    <row r="3" spans="1:5" x14ac:dyDescent="0.25">
      <c r="A3" s="11" t="s">
        <v>584</v>
      </c>
      <c r="B3" s="13" t="s">
        <v>583</v>
      </c>
    </row>
    <row r="4" spans="1:5" x14ac:dyDescent="0.25">
      <c r="A4" s="11" t="s">
        <v>585</v>
      </c>
      <c r="B4" s="14" t="s">
        <v>580</v>
      </c>
      <c r="C4" s="14" t="s">
        <v>581</v>
      </c>
      <c r="D4" s="14" t="s">
        <v>582</v>
      </c>
      <c r="E4" s="14" t="s">
        <v>579</v>
      </c>
    </row>
    <row r="5" spans="1:5" x14ac:dyDescent="0.25">
      <c r="A5" s="12" t="s">
        <v>61</v>
      </c>
      <c r="B5" s="14">
        <v>14798.070000000005</v>
      </c>
      <c r="C5" s="14">
        <v>88499.179999999964</v>
      </c>
      <c r="D5" s="14">
        <v>11177.72</v>
      </c>
      <c r="E5" s="14">
        <v>114474.96999999997</v>
      </c>
    </row>
    <row r="6" spans="1:5" x14ac:dyDescent="0.25">
      <c r="A6" s="12" t="s">
        <v>148</v>
      </c>
      <c r="B6" s="14">
        <v>255.66000000000003</v>
      </c>
      <c r="C6" s="14">
        <v>17130.64</v>
      </c>
      <c r="D6" s="14">
        <v>0</v>
      </c>
      <c r="E6" s="14">
        <v>17386.3</v>
      </c>
    </row>
    <row r="7" spans="1:5" x14ac:dyDescent="0.25">
      <c r="A7" s="12" t="s">
        <v>78</v>
      </c>
      <c r="B7" s="14">
        <v>732.92000000000007</v>
      </c>
      <c r="C7" s="14">
        <v>592.31999999999994</v>
      </c>
      <c r="D7" s="14">
        <v>467.15000000000003</v>
      </c>
      <c r="E7" s="14">
        <v>1792.39</v>
      </c>
    </row>
    <row r="8" spans="1:5" x14ac:dyDescent="0.25">
      <c r="A8" s="12" t="s">
        <v>354</v>
      </c>
      <c r="B8" s="14">
        <v>3567</v>
      </c>
      <c r="E8" s="14">
        <v>3567</v>
      </c>
    </row>
    <row r="9" spans="1:5" x14ac:dyDescent="0.25">
      <c r="A9" s="12" t="s">
        <v>91</v>
      </c>
      <c r="B9" s="14">
        <v>16318.079999999998</v>
      </c>
      <c r="C9" s="14">
        <v>3696.52</v>
      </c>
      <c r="D9" s="14">
        <v>706.32</v>
      </c>
      <c r="E9" s="14">
        <v>20720.919999999998</v>
      </c>
    </row>
    <row r="10" spans="1:5" x14ac:dyDescent="0.25">
      <c r="A10" s="12" t="s">
        <v>215</v>
      </c>
      <c r="B10" s="14">
        <v>101.58000000000001</v>
      </c>
      <c r="C10" s="14">
        <v>891.03</v>
      </c>
      <c r="E10" s="14">
        <v>992.61</v>
      </c>
    </row>
    <row r="11" spans="1:5" x14ac:dyDescent="0.25">
      <c r="A11" s="12" t="s">
        <v>579</v>
      </c>
      <c r="B11" s="14">
        <v>35773.310000000005</v>
      </c>
      <c r="C11" s="14">
        <v>110809.68999999997</v>
      </c>
      <c r="D11" s="14">
        <v>12351.189999999999</v>
      </c>
      <c r="E11" s="14">
        <v>158934.18999999994</v>
      </c>
    </row>
  </sheetData>
  <printOptions horizontalCentered="1"/>
  <pageMargins left="0.2" right="0.2" top="0.75" bottom="0.75" header="0.3" footer="0.3"/>
  <pageSetup orientation="landscape" verticalDpi="0" r:id="rId2"/>
  <headerFooter>
    <oddHeader>&amp;CATTACHMENT 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4"/>
  <sheetViews>
    <sheetView view="pageBreakPreview" zoomScale="60" zoomScaleNormal="100" workbookViewId="0">
      <selection activeCell="AA27" sqref="AA27"/>
    </sheetView>
  </sheetViews>
  <sheetFormatPr defaultRowHeight="15" x14ac:dyDescent="0.25"/>
  <cols>
    <col min="1" max="1" width="12.42578125" style="46" customWidth="1"/>
    <col min="2" max="2" width="26.5703125" style="46" customWidth="1"/>
    <col min="3" max="3" width="26.140625" style="46" customWidth="1"/>
    <col min="4" max="4" width="13.42578125" style="46" customWidth="1"/>
    <col min="5" max="5" width="14.85546875" style="46" customWidth="1"/>
    <col min="6" max="6" width="12.42578125" style="46" customWidth="1"/>
    <col min="7" max="7" width="9.140625" style="46"/>
    <col min="8" max="8" width="12.140625" style="46" customWidth="1"/>
    <col min="9" max="9" width="14.28515625" style="46" customWidth="1"/>
    <col min="10" max="11" width="9.140625" style="46"/>
    <col min="12" max="12" width="12.28515625" style="46" customWidth="1"/>
    <col min="13" max="13" width="9.140625" style="46"/>
    <col min="14" max="14" width="34.28515625" style="46" customWidth="1"/>
    <col min="15" max="15" width="24.42578125" style="46" customWidth="1"/>
    <col min="16" max="16" width="23.140625" style="46" customWidth="1"/>
    <col min="17" max="22" width="9.140625" style="46"/>
    <col min="23" max="23" width="12.5703125" style="46" customWidth="1"/>
    <col min="24" max="24" width="24" style="46" customWidth="1"/>
    <col min="25" max="26" width="9.140625" style="46"/>
    <col min="27" max="27" width="35" style="46" customWidth="1"/>
    <col min="28" max="16384" width="9.140625" style="46"/>
  </cols>
  <sheetData>
    <row r="1" spans="1:32" x14ac:dyDescent="0.25">
      <c r="A1" s="46" t="s">
        <v>25</v>
      </c>
      <c r="B1" s="46" t="s">
        <v>26</v>
      </c>
      <c r="C1" s="46" t="s">
        <v>27</v>
      </c>
      <c r="D1" s="46" t="s">
        <v>28</v>
      </c>
      <c r="E1" s="46" t="s">
        <v>29</v>
      </c>
      <c r="F1" s="46" t="s">
        <v>30</v>
      </c>
      <c r="G1" s="46" t="s">
        <v>31</v>
      </c>
      <c r="H1" s="46" t="s">
        <v>32</v>
      </c>
      <c r="I1" s="46" t="s">
        <v>33</v>
      </c>
      <c r="J1" s="46" t="s">
        <v>34</v>
      </c>
      <c r="K1" s="46" t="s">
        <v>35</v>
      </c>
      <c r="L1" s="46" t="s">
        <v>36</v>
      </c>
      <c r="M1" s="46" t="s">
        <v>37</v>
      </c>
      <c r="N1" s="46" t="s">
        <v>38</v>
      </c>
      <c r="O1" s="46" t="s">
        <v>39</v>
      </c>
      <c r="P1" s="46" t="s">
        <v>40</v>
      </c>
      <c r="Q1" s="46" t="s">
        <v>41</v>
      </c>
      <c r="R1" s="46" t="s">
        <v>42</v>
      </c>
      <c r="S1" s="46" t="s">
        <v>43</v>
      </c>
      <c r="T1" s="46" t="s">
        <v>44</v>
      </c>
      <c r="U1" s="46" t="s">
        <v>45</v>
      </c>
      <c r="V1" s="46" t="s">
        <v>46</v>
      </c>
      <c r="W1" s="46" t="s">
        <v>47</v>
      </c>
      <c r="X1" s="46" t="s">
        <v>48</v>
      </c>
      <c r="Y1" s="46" t="s">
        <v>49</v>
      </c>
      <c r="Z1" s="46" t="s">
        <v>50</v>
      </c>
      <c r="AA1" s="46" t="s">
        <v>51</v>
      </c>
      <c r="AB1" s="46" t="s">
        <v>52</v>
      </c>
      <c r="AC1" s="46" t="s">
        <v>53</v>
      </c>
      <c r="AD1" s="46" t="s">
        <v>54</v>
      </c>
      <c r="AE1" s="46" t="s">
        <v>55</v>
      </c>
      <c r="AF1" s="46" t="s">
        <v>56</v>
      </c>
    </row>
    <row r="2" spans="1:32" x14ac:dyDescent="0.25">
      <c r="A2" s="46" t="s">
        <v>57</v>
      </c>
      <c r="B2" s="46" t="s">
        <v>58</v>
      </c>
      <c r="C2" s="12" t="s">
        <v>59</v>
      </c>
      <c r="D2" s="46">
        <v>29241234</v>
      </c>
      <c r="E2" s="47">
        <v>45170</v>
      </c>
      <c r="F2" s="47">
        <v>45170</v>
      </c>
      <c r="G2" s="46">
        <v>1</v>
      </c>
      <c r="H2" s="47">
        <v>45230</v>
      </c>
      <c r="I2" s="47">
        <v>45245</v>
      </c>
      <c r="J2" s="46">
        <v>15</v>
      </c>
      <c r="K2" s="47">
        <v>45139</v>
      </c>
      <c r="L2" s="47">
        <v>45291</v>
      </c>
      <c r="M2" s="46">
        <v>99308</v>
      </c>
      <c r="N2" s="12" t="s">
        <v>60</v>
      </c>
      <c r="O2" s="46" t="s">
        <v>61</v>
      </c>
      <c r="P2" s="46" t="s">
        <v>62</v>
      </c>
      <c r="Q2" s="46">
        <v>224</v>
      </c>
      <c r="R2" s="46">
        <v>0</v>
      </c>
      <c r="S2" s="46">
        <v>186.98</v>
      </c>
      <c r="T2" s="46">
        <v>37.020000000000003</v>
      </c>
      <c r="U2" s="48">
        <v>0.8347</v>
      </c>
      <c r="V2" s="46" t="s">
        <v>44</v>
      </c>
      <c r="W2" s="46">
        <v>223348695</v>
      </c>
      <c r="X2" s="46" t="s">
        <v>63</v>
      </c>
      <c r="Y2" s="46" t="s">
        <v>64</v>
      </c>
      <c r="Z2" s="46" t="s">
        <v>65</v>
      </c>
      <c r="AA2" s="12" t="s">
        <v>66</v>
      </c>
      <c r="AB2" s="46">
        <v>0</v>
      </c>
      <c r="AD2" s="46" t="s">
        <v>67</v>
      </c>
      <c r="AE2" s="46">
        <v>31</v>
      </c>
    </row>
    <row r="3" spans="1:32" x14ac:dyDescent="0.25">
      <c r="A3" s="46" t="s">
        <v>57</v>
      </c>
      <c r="B3" s="46" t="s">
        <v>58</v>
      </c>
      <c r="C3" s="12" t="s">
        <v>59</v>
      </c>
      <c r="D3" s="46">
        <v>29241234</v>
      </c>
      <c r="E3" s="47">
        <v>45171</v>
      </c>
      <c r="F3" s="47">
        <v>45171</v>
      </c>
      <c r="G3" s="46">
        <v>1</v>
      </c>
      <c r="H3" s="47">
        <v>45230</v>
      </c>
      <c r="I3" s="47">
        <v>45245</v>
      </c>
      <c r="J3" s="46">
        <v>15</v>
      </c>
      <c r="K3" s="47">
        <v>45139</v>
      </c>
      <c r="L3" s="47">
        <v>45291</v>
      </c>
      <c r="M3" s="46">
        <v>99316</v>
      </c>
      <c r="N3" s="12" t="s">
        <v>68</v>
      </c>
      <c r="O3" s="46" t="s">
        <v>61</v>
      </c>
      <c r="P3" s="46" t="s">
        <v>62</v>
      </c>
      <c r="Q3" s="46">
        <v>395</v>
      </c>
      <c r="R3" s="46">
        <v>0</v>
      </c>
      <c r="S3" s="46">
        <v>330.69</v>
      </c>
      <c r="T3" s="46">
        <v>64.31</v>
      </c>
      <c r="U3" s="48">
        <v>0.83709999999999996</v>
      </c>
      <c r="V3" s="46" t="s">
        <v>44</v>
      </c>
      <c r="W3" s="46">
        <v>223348695</v>
      </c>
      <c r="X3" s="46" t="s">
        <v>63</v>
      </c>
      <c r="Y3" s="46" t="s">
        <v>64</v>
      </c>
      <c r="Z3" s="46" t="s">
        <v>65</v>
      </c>
      <c r="AA3" s="12" t="s">
        <v>66</v>
      </c>
      <c r="AB3" s="46">
        <v>0</v>
      </c>
      <c r="AD3" s="46" t="s">
        <v>67</v>
      </c>
      <c r="AE3" s="46">
        <v>31</v>
      </c>
    </row>
    <row r="4" spans="1:32" x14ac:dyDescent="0.25">
      <c r="A4" s="46" t="s">
        <v>57</v>
      </c>
      <c r="B4" s="46" t="s">
        <v>58</v>
      </c>
      <c r="C4" s="12" t="s">
        <v>59</v>
      </c>
      <c r="D4" s="46">
        <v>29241234</v>
      </c>
      <c r="E4" s="47">
        <v>45169</v>
      </c>
      <c r="F4" s="47">
        <v>45169</v>
      </c>
      <c r="G4" s="46">
        <v>1</v>
      </c>
      <c r="H4" s="47">
        <v>45231</v>
      </c>
      <c r="I4" s="47">
        <v>45245</v>
      </c>
      <c r="J4" s="46">
        <v>14</v>
      </c>
      <c r="K4" s="47">
        <v>45139</v>
      </c>
      <c r="L4" s="47">
        <v>45291</v>
      </c>
      <c r="M4" s="46">
        <v>99305</v>
      </c>
      <c r="N4" s="12" t="s">
        <v>69</v>
      </c>
      <c r="O4" s="46" t="s">
        <v>61</v>
      </c>
      <c r="P4" s="46" t="s">
        <v>62</v>
      </c>
      <c r="Q4" s="46">
        <v>401</v>
      </c>
      <c r="R4" s="46">
        <v>0</v>
      </c>
      <c r="S4" s="46">
        <v>347.36</v>
      </c>
      <c r="T4" s="46">
        <v>53.64</v>
      </c>
      <c r="U4" s="48">
        <v>0.86619999999999997</v>
      </c>
      <c r="V4" s="46" t="s">
        <v>44</v>
      </c>
      <c r="W4" s="46">
        <v>223350462</v>
      </c>
      <c r="X4" s="46" t="s">
        <v>70</v>
      </c>
      <c r="Y4" s="46" t="s">
        <v>64</v>
      </c>
      <c r="Z4" s="46" t="s">
        <v>65</v>
      </c>
      <c r="AA4" s="12" t="s">
        <v>66</v>
      </c>
      <c r="AB4" s="46">
        <v>0</v>
      </c>
      <c r="AD4" s="46" t="s">
        <v>67</v>
      </c>
      <c r="AE4" s="46">
        <v>31</v>
      </c>
    </row>
    <row r="5" spans="1:32" x14ac:dyDescent="0.25">
      <c r="A5" s="46" t="s">
        <v>57</v>
      </c>
      <c r="B5" s="46" t="s">
        <v>58</v>
      </c>
      <c r="C5" s="12" t="s">
        <v>59</v>
      </c>
      <c r="D5" s="46">
        <v>29241234</v>
      </c>
      <c r="E5" s="47">
        <v>45170</v>
      </c>
      <c r="F5" s="47">
        <v>45170</v>
      </c>
      <c r="G5" s="46">
        <v>1</v>
      </c>
      <c r="H5" s="47">
        <v>45267</v>
      </c>
      <c r="I5" s="47">
        <v>45273</v>
      </c>
      <c r="J5" s="46">
        <v>6</v>
      </c>
      <c r="K5" s="47">
        <v>45139</v>
      </c>
      <c r="L5" s="47">
        <v>45291</v>
      </c>
      <c r="M5" s="46">
        <v>99232</v>
      </c>
      <c r="N5" s="12" t="s">
        <v>71</v>
      </c>
      <c r="O5" s="46" t="s">
        <v>61</v>
      </c>
      <c r="P5" s="46" t="s">
        <v>62</v>
      </c>
      <c r="Q5" s="46">
        <v>224</v>
      </c>
      <c r="R5" s="46">
        <v>0</v>
      </c>
      <c r="S5" s="46">
        <v>178.52</v>
      </c>
      <c r="T5" s="46">
        <v>45.48</v>
      </c>
      <c r="U5" s="48">
        <v>0.79690000000000005</v>
      </c>
      <c r="V5" s="46" t="s">
        <v>44</v>
      </c>
      <c r="W5" s="46">
        <v>223405990</v>
      </c>
      <c r="X5" s="46" t="s">
        <v>72</v>
      </c>
      <c r="Y5" s="46" t="s">
        <v>64</v>
      </c>
      <c r="Z5" s="46" t="s">
        <v>65</v>
      </c>
      <c r="AA5" s="12" t="s">
        <v>66</v>
      </c>
      <c r="AB5" s="46">
        <v>0</v>
      </c>
      <c r="AD5" s="46" t="s">
        <v>67</v>
      </c>
      <c r="AE5" s="46">
        <v>21</v>
      </c>
    </row>
    <row r="6" spans="1:32" x14ac:dyDescent="0.25">
      <c r="A6" s="46" t="s">
        <v>57</v>
      </c>
      <c r="B6" s="46" t="s">
        <v>58</v>
      </c>
      <c r="C6" s="12" t="s">
        <v>59</v>
      </c>
      <c r="D6" s="46">
        <v>29241234</v>
      </c>
      <c r="E6" s="47">
        <v>45171</v>
      </c>
      <c r="F6" s="47">
        <v>45171</v>
      </c>
      <c r="G6" s="46">
        <v>1</v>
      </c>
      <c r="H6" s="47">
        <v>45267</v>
      </c>
      <c r="I6" s="47">
        <v>45273</v>
      </c>
      <c r="J6" s="46">
        <v>6</v>
      </c>
      <c r="K6" s="47">
        <v>45139</v>
      </c>
      <c r="L6" s="47">
        <v>45291</v>
      </c>
      <c r="M6" s="46">
        <v>99239</v>
      </c>
      <c r="N6" s="12" t="s">
        <v>73</v>
      </c>
      <c r="O6" s="46" t="s">
        <v>61</v>
      </c>
      <c r="P6" s="46" t="s">
        <v>62</v>
      </c>
      <c r="Q6" s="46">
        <v>395</v>
      </c>
      <c r="R6" s="46">
        <v>0</v>
      </c>
      <c r="S6" s="46">
        <v>322.85000000000002</v>
      </c>
      <c r="T6" s="46">
        <v>72.150000000000006</v>
      </c>
      <c r="U6" s="48">
        <v>0.81730000000000003</v>
      </c>
      <c r="V6" s="46" t="s">
        <v>44</v>
      </c>
      <c r="W6" s="46">
        <v>223405990</v>
      </c>
      <c r="X6" s="46" t="s">
        <v>72</v>
      </c>
      <c r="Y6" s="46" t="s">
        <v>64</v>
      </c>
      <c r="Z6" s="46" t="s">
        <v>65</v>
      </c>
      <c r="AA6" s="12" t="s">
        <v>66</v>
      </c>
      <c r="AB6" s="46">
        <v>0</v>
      </c>
      <c r="AD6" s="46" t="s">
        <v>67</v>
      </c>
      <c r="AE6" s="46">
        <v>21</v>
      </c>
    </row>
    <row r="7" spans="1:32" x14ac:dyDescent="0.25">
      <c r="A7" s="46" t="s">
        <v>57</v>
      </c>
      <c r="B7" s="46" t="s">
        <v>58</v>
      </c>
      <c r="C7" s="12" t="s">
        <v>59</v>
      </c>
      <c r="D7" s="46">
        <v>29241234</v>
      </c>
      <c r="E7" s="47">
        <v>45169</v>
      </c>
      <c r="F7" s="47">
        <v>45169</v>
      </c>
      <c r="G7" s="46">
        <v>1</v>
      </c>
      <c r="H7" s="47">
        <v>45267</v>
      </c>
      <c r="I7" s="47">
        <v>45273</v>
      </c>
      <c r="J7" s="46">
        <v>6</v>
      </c>
      <c r="K7" s="47">
        <v>45139</v>
      </c>
      <c r="L7" s="47">
        <v>45291</v>
      </c>
      <c r="M7" s="46">
        <v>99222</v>
      </c>
      <c r="N7" s="12" t="s">
        <v>74</v>
      </c>
      <c r="O7" s="46" t="s">
        <v>61</v>
      </c>
      <c r="P7" s="46" t="s">
        <v>62</v>
      </c>
      <c r="Q7" s="46">
        <v>401</v>
      </c>
      <c r="R7" s="46">
        <v>0</v>
      </c>
      <c r="S7" s="46">
        <v>305.95</v>
      </c>
      <c r="T7" s="46">
        <v>95.05</v>
      </c>
      <c r="U7" s="48">
        <v>0.76290000000000002</v>
      </c>
      <c r="V7" s="46" t="s">
        <v>44</v>
      </c>
      <c r="W7" s="46">
        <v>223405995</v>
      </c>
      <c r="X7" s="46" t="s">
        <v>75</v>
      </c>
      <c r="Y7" s="46" t="s">
        <v>64</v>
      </c>
      <c r="Z7" s="46" t="s">
        <v>65</v>
      </c>
      <c r="AA7" s="12" t="s">
        <v>66</v>
      </c>
      <c r="AB7" s="46">
        <v>0</v>
      </c>
      <c r="AD7" s="46" t="s">
        <v>67</v>
      </c>
      <c r="AE7" s="46">
        <v>21</v>
      </c>
    </row>
    <row r="8" spans="1:32" x14ac:dyDescent="0.25">
      <c r="A8" s="46" t="s">
        <v>57</v>
      </c>
      <c r="B8" s="46" t="s">
        <v>58</v>
      </c>
      <c r="C8" s="12" t="s">
        <v>76</v>
      </c>
      <c r="D8" s="46">
        <v>29449045</v>
      </c>
      <c r="E8" s="47">
        <v>45194</v>
      </c>
      <c r="F8" s="47">
        <v>45194</v>
      </c>
      <c r="G8" s="46">
        <v>1</v>
      </c>
      <c r="H8" s="47">
        <v>45218</v>
      </c>
      <c r="I8" s="47">
        <v>45231</v>
      </c>
      <c r="J8" s="46">
        <v>13</v>
      </c>
      <c r="K8" s="47">
        <v>45139</v>
      </c>
      <c r="L8" s="47">
        <v>45291</v>
      </c>
      <c r="M8" s="46">
        <v>99214</v>
      </c>
      <c r="N8" s="12" t="s">
        <v>77</v>
      </c>
      <c r="O8" s="46" t="s">
        <v>78</v>
      </c>
      <c r="P8" s="46" t="s">
        <v>79</v>
      </c>
      <c r="Q8" s="46">
        <v>253.23</v>
      </c>
      <c r="R8" s="46">
        <v>0</v>
      </c>
      <c r="S8" s="46">
        <v>128.87</v>
      </c>
      <c r="T8" s="46">
        <v>124.36</v>
      </c>
      <c r="U8" s="48">
        <v>0.50890000000000002</v>
      </c>
      <c r="V8" s="46" t="s">
        <v>44</v>
      </c>
      <c r="W8" s="46">
        <v>223333068</v>
      </c>
      <c r="X8" s="46">
        <v>101123727015158</v>
      </c>
      <c r="Y8" s="46" t="s">
        <v>64</v>
      </c>
      <c r="Z8" s="46" t="s">
        <v>80</v>
      </c>
      <c r="AA8" s="12" t="s">
        <v>81</v>
      </c>
      <c r="AB8" s="46">
        <v>0</v>
      </c>
      <c r="AD8" s="46" t="s">
        <v>67</v>
      </c>
      <c r="AE8" s="46">
        <v>11</v>
      </c>
    </row>
    <row r="9" spans="1:32" x14ac:dyDescent="0.25">
      <c r="A9" s="46" t="s">
        <v>57</v>
      </c>
      <c r="B9" s="46" t="s">
        <v>58</v>
      </c>
      <c r="C9" s="12" t="s">
        <v>76</v>
      </c>
      <c r="D9" s="46">
        <v>29449045</v>
      </c>
      <c r="E9" s="47">
        <v>45194</v>
      </c>
      <c r="F9" s="47">
        <v>45194</v>
      </c>
      <c r="G9" s="46">
        <v>1</v>
      </c>
      <c r="H9" s="47">
        <v>45218</v>
      </c>
      <c r="I9" s="47">
        <v>45231</v>
      </c>
      <c r="J9" s="46">
        <v>13</v>
      </c>
      <c r="K9" s="47">
        <v>45139</v>
      </c>
      <c r="L9" s="47">
        <v>45291</v>
      </c>
      <c r="M9" s="46">
        <v>11104</v>
      </c>
      <c r="N9" s="12"/>
      <c r="O9" s="46" t="s">
        <v>78</v>
      </c>
      <c r="P9" s="46" t="s">
        <v>79</v>
      </c>
      <c r="Q9" s="46">
        <v>275</v>
      </c>
      <c r="R9" s="46">
        <v>0</v>
      </c>
      <c r="S9" s="46">
        <v>152.55000000000001</v>
      </c>
      <c r="T9" s="46">
        <v>122.45</v>
      </c>
      <c r="U9" s="48">
        <v>0.55469999999999997</v>
      </c>
      <c r="V9" s="46" t="s">
        <v>44</v>
      </c>
      <c r="W9" s="46">
        <v>223333068</v>
      </c>
      <c r="X9" s="46">
        <v>101123727015158</v>
      </c>
      <c r="Y9" s="46" t="s">
        <v>64</v>
      </c>
      <c r="Z9" s="46" t="s">
        <v>80</v>
      </c>
      <c r="AA9" s="12" t="s">
        <v>81</v>
      </c>
      <c r="AB9" s="46">
        <v>0</v>
      </c>
      <c r="AD9" s="46" t="s">
        <v>67</v>
      </c>
      <c r="AE9" s="46">
        <v>11</v>
      </c>
    </row>
    <row r="10" spans="1:32" x14ac:dyDescent="0.25">
      <c r="A10" s="46" t="s">
        <v>57</v>
      </c>
      <c r="B10" s="46" t="s">
        <v>58</v>
      </c>
      <c r="C10" s="12" t="s">
        <v>82</v>
      </c>
      <c r="D10" s="46">
        <v>29695997</v>
      </c>
      <c r="E10" s="47">
        <v>45215</v>
      </c>
      <c r="F10" s="47">
        <v>45215</v>
      </c>
      <c r="G10" s="46">
        <v>1</v>
      </c>
      <c r="H10" s="47">
        <v>45226</v>
      </c>
      <c r="I10" s="47">
        <v>45245</v>
      </c>
      <c r="J10" s="46">
        <v>19</v>
      </c>
      <c r="K10" s="47">
        <v>45139</v>
      </c>
      <c r="L10" s="47">
        <v>45291</v>
      </c>
      <c r="M10" s="46" t="s">
        <v>83</v>
      </c>
      <c r="N10" s="12" t="s">
        <v>84</v>
      </c>
      <c r="O10" s="46" t="s">
        <v>61</v>
      </c>
      <c r="P10" s="46" t="s">
        <v>62</v>
      </c>
      <c r="Q10" s="49">
        <v>1750</v>
      </c>
      <c r="R10" s="46">
        <v>0</v>
      </c>
      <c r="S10" s="49">
        <v>1464.72</v>
      </c>
      <c r="T10" s="46">
        <v>285.27999999999997</v>
      </c>
      <c r="U10" s="48">
        <v>0.83689999999999998</v>
      </c>
      <c r="V10" s="46" t="s">
        <v>44</v>
      </c>
      <c r="W10" s="46">
        <v>223345013</v>
      </c>
      <c r="X10" s="46" t="s">
        <v>85</v>
      </c>
      <c r="Y10" s="46" t="s">
        <v>64</v>
      </c>
      <c r="Z10" s="46" t="s">
        <v>86</v>
      </c>
      <c r="AA10" s="12" t="s">
        <v>87</v>
      </c>
      <c r="AB10" s="46">
        <v>0</v>
      </c>
      <c r="AD10" s="46" t="s">
        <v>67</v>
      </c>
      <c r="AE10" s="46">
        <v>41</v>
      </c>
    </row>
    <row r="11" spans="1:32" x14ac:dyDescent="0.25">
      <c r="A11" s="46" t="s">
        <v>57</v>
      </c>
      <c r="B11" s="46" t="s">
        <v>58</v>
      </c>
      <c r="C11" s="12" t="s">
        <v>82</v>
      </c>
      <c r="D11" s="46">
        <v>29695997</v>
      </c>
      <c r="E11" s="47">
        <v>45215</v>
      </c>
      <c r="F11" s="47">
        <v>45215</v>
      </c>
      <c r="G11" s="46">
        <v>1</v>
      </c>
      <c r="H11" s="47">
        <v>45226</v>
      </c>
      <c r="I11" s="47">
        <v>45245</v>
      </c>
      <c r="J11" s="46">
        <v>19</v>
      </c>
      <c r="K11" s="47">
        <v>45139</v>
      </c>
      <c r="L11" s="47">
        <v>45291</v>
      </c>
      <c r="M11" s="46" t="s">
        <v>88</v>
      </c>
      <c r="N11" s="12" t="s">
        <v>89</v>
      </c>
      <c r="O11" s="46" t="s">
        <v>61</v>
      </c>
      <c r="P11" s="46" t="s">
        <v>62</v>
      </c>
      <c r="Q11" s="46">
        <v>660</v>
      </c>
      <c r="R11" s="46">
        <v>0</v>
      </c>
      <c r="S11" s="46">
        <v>400.84</v>
      </c>
      <c r="T11" s="46">
        <v>259.16000000000003</v>
      </c>
      <c r="U11" s="48">
        <v>0.60729999999999995</v>
      </c>
      <c r="V11" s="46" t="s">
        <v>44</v>
      </c>
      <c r="W11" s="46">
        <v>223345013</v>
      </c>
      <c r="X11" s="46" t="s">
        <v>85</v>
      </c>
      <c r="Y11" s="46" t="s">
        <v>64</v>
      </c>
      <c r="Z11" s="46" t="s">
        <v>86</v>
      </c>
      <c r="AA11" s="12" t="s">
        <v>87</v>
      </c>
      <c r="AB11" s="46">
        <v>0</v>
      </c>
      <c r="AD11" s="46" t="s">
        <v>67</v>
      </c>
      <c r="AE11" s="46">
        <v>41</v>
      </c>
    </row>
    <row r="12" spans="1:32" x14ac:dyDescent="0.25">
      <c r="A12" s="46" t="s">
        <v>57</v>
      </c>
      <c r="B12" s="46" t="s">
        <v>58</v>
      </c>
      <c r="C12" s="12" t="s">
        <v>90</v>
      </c>
      <c r="D12" s="46">
        <v>28983343</v>
      </c>
      <c r="E12" s="47">
        <v>45188</v>
      </c>
      <c r="F12" s="47">
        <v>45188</v>
      </c>
      <c r="G12" s="46">
        <v>1</v>
      </c>
      <c r="H12" s="47">
        <v>45219</v>
      </c>
      <c r="I12" s="47">
        <v>45238</v>
      </c>
      <c r="J12" s="46">
        <v>19</v>
      </c>
      <c r="K12" s="47">
        <v>45139</v>
      </c>
      <c r="L12" s="47">
        <v>45291</v>
      </c>
      <c r="M12" s="46">
        <v>862</v>
      </c>
      <c r="N12" s="12"/>
      <c r="O12" s="46" t="s">
        <v>91</v>
      </c>
      <c r="P12" s="46" t="s">
        <v>92</v>
      </c>
      <c r="Q12" s="49">
        <v>4698</v>
      </c>
      <c r="R12" s="46">
        <v>0</v>
      </c>
      <c r="S12" s="49">
        <v>4430.4799999999996</v>
      </c>
      <c r="T12" s="46">
        <v>267.52</v>
      </c>
      <c r="U12" s="48">
        <v>0.94299999999999995</v>
      </c>
      <c r="V12" s="46" t="s">
        <v>44</v>
      </c>
      <c r="W12" s="46">
        <v>223333686</v>
      </c>
      <c r="X12" s="46" t="s">
        <v>93</v>
      </c>
      <c r="Y12" s="46" t="s">
        <v>64</v>
      </c>
      <c r="Z12" s="46" t="s">
        <v>94</v>
      </c>
      <c r="AA12" s="12" t="s">
        <v>95</v>
      </c>
      <c r="AB12" s="46">
        <v>0</v>
      </c>
      <c r="AD12" s="46" t="s">
        <v>67</v>
      </c>
      <c r="AE12" s="46">
        <v>22</v>
      </c>
    </row>
    <row r="13" spans="1:32" x14ac:dyDescent="0.25">
      <c r="A13" s="46" t="s">
        <v>57</v>
      </c>
      <c r="B13" s="46" t="s">
        <v>58</v>
      </c>
      <c r="C13" s="12" t="s">
        <v>96</v>
      </c>
      <c r="D13" s="46">
        <v>29384355</v>
      </c>
      <c r="E13" s="47">
        <v>45181</v>
      </c>
      <c r="F13" s="47">
        <v>45181</v>
      </c>
      <c r="G13" s="46">
        <v>1</v>
      </c>
      <c r="H13" s="47">
        <v>45187</v>
      </c>
      <c r="I13" s="47">
        <v>45203</v>
      </c>
      <c r="J13" s="46">
        <v>16</v>
      </c>
      <c r="K13" s="47">
        <v>45139</v>
      </c>
      <c r="L13" s="47">
        <v>45291</v>
      </c>
      <c r="M13" s="46">
        <v>92012</v>
      </c>
      <c r="N13" s="12" t="s">
        <v>97</v>
      </c>
      <c r="O13" s="46" t="s">
        <v>78</v>
      </c>
      <c r="P13" s="46" t="s">
        <v>98</v>
      </c>
      <c r="Q13" s="46">
        <v>277</v>
      </c>
      <c r="R13" s="46">
        <v>0</v>
      </c>
      <c r="S13" s="46">
        <v>206.97</v>
      </c>
      <c r="T13" s="46">
        <v>70.03</v>
      </c>
      <c r="U13" s="48">
        <v>0.74709999999999999</v>
      </c>
      <c r="V13" s="46" t="s">
        <v>44</v>
      </c>
      <c r="W13" s="46">
        <v>223289429</v>
      </c>
      <c r="X13" s="46" t="s">
        <v>99</v>
      </c>
      <c r="Y13" s="46" t="s">
        <v>64</v>
      </c>
      <c r="Z13" s="46" t="s">
        <v>100</v>
      </c>
      <c r="AA13" s="12" t="s">
        <v>101</v>
      </c>
      <c r="AB13" s="46">
        <v>0</v>
      </c>
      <c r="AD13" s="46" t="s">
        <v>67</v>
      </c>
      <c r="AE13" s="46">
        <v>11</v>
      </c>
    </row>
    <row r="14" spans="1:32" x14ac:dyDescent="0.25">
      <c r="A14" s="46" t="s">
        <v>57</v>
      </c>
      <c r="B14" s="46" t="s">
        <v>58</v>
      </c>
      <c r="C14" s="12" t="s">
        <v>96</v>
      </c>
      <c r="D14" s="46">
        <v>29384355</v>
      </c>
      <c r="E14" s="47">
        <v>45181</v>
      </c>
      <c r="F14" s="47">
        <v>45181</v>
      </c>
      <c r="G14" s="46">
        <v>1</v>
      </c>
      <c r="H14" s="47">
        <v>45187</v>
      </c>
      <c r="I14" s="47">
        <v>45203</v>
      </c>
      <c r="J14" s="46">
        <v>16</v>
      </c>
      <c r="K14" s="47">
        <v>45139</v>
      </c>
      <c r="L14" s="47">
        <v>45291</v>
      </c>
      <c r="M14" s="46">
        <v>92015</v>
      </c>
      <c r="N14" s="12" t="s">
        <v>102</v>
      </c>
      <c r="O14" s="46" t="s">
        <v>78</v>
      </c>
      <c r="P14" s="46" t="s">
        <v>98</v>
      </c>
      <c r="Q14" s="46">
        <v>59</v>
      </c>
      <c r="R14" s="46">
        <v>0</v>
      </c>
      <c r="S14" s="46">
        <v>43.5</v>
      </c>
      <c r="T14" s="46">
        <v>15.5</v>
      </c>
      <c r="U14" s="48">
        <v>0.73719999999999997</v>
      </c>
      <c r="V14" s="46" t="s">
        <v>44</v>
      </c>
      <c r="W14" s="46">
        <v>223289429</v>
      </c>
      <c r="X14" s="46" t="s">
        <v>99</v>
      </c>
      <c r="Y14" s="46" t="s">
        <v>64</v>
      </c>
      <c r="Z14" s="46" t="s">
        <v>100</v>
      </c>
      <c r="AA14" s="12" t="s">
        <v>101</v>
      </c>
      <c r="AB14" s="46">
        <v>0</v>
      </c>
      <c r="AD14" s="46" t="s">
        <v>67</v>
      </c>
      <c r="AE14" s="46">
        <v>11</v>
      </c>
    </row>
    <row r="15" spans="1:32" x14ac:dyDescent="0.25">
      <c r="A15" s="46" t="s">
        <v>57</v>
      </c>
      <c r="B15" s="46" t="s">
        <v>58</v>
      </c>
      <c r="C15" s="12" t="s">
        <v>96</v>
      </c>
      <c r="D15" s="46">
        <v>29384355</v>
      </c>
      <c r="E15" s="47">
        <v>45181</v>
      </c>
      <c r="F15" s="47">
        <v>45181</v>
      </c>
      <c r="G15" s="46">
        <v>1</v>
      </c>
      <c r="H15" s="47">
        <v>45187</v>
      </c>
      <c r="I15" s="47">
        <v>45203</v>
      </c>
      <c r="J15" s="46">
        <v>16</v>
      </c>
      <c r="K15" s="47">
        <v>45139</v>
      </c>
      <c r="L15" s="47">
        <v>45291</v>
      </c>
      <c r="M15" s="46">
        <v>92060</v>
      </c>
      <c r="N15" s="12" t="s">
        <v>103</v>
      </c>
      <c r="O15" s="46" t="s">
        <v>78</v>
      </c>
      <c r="P15" s="46" t="s">
        <v>98</v>
      </c>
      <c r="Q15" s="46">
        <v>373</v>
      </c>
      <c r="R15" s="46">
        <v>0</v>
      </c>
      <c r="S15" s="46">
        <v>320.61</v>
      </c>
      <c r="T15" s="46">
        <v>52.39</v>
      </c>
      <c r="U15" s="48">
        <v>0.85950000000000004</v>
      </c>
      <c r="V15" s="46" t="s">
        <v>44</v>
      </c>
      <c r="W15" s="46">
        <v>223289429</v>
      </c>
      <c r="X15" s="46" t="s">
        <v>99</v>
      </c>
      <c r="Y15" s="46" t="s">
        <v>64</v>
      </c>
      <c r="Z15" s="46" t="s">
        <v>100</v>
      </c>
      <c r="AA15" s="12" t="s">
        <v>101</v>
      </c>
      <c r="AB15" s="46">
        <v>0</v>
      </c>
      <c r="AD15" s="46" t="s">
        <v>67</v>
      </c>
      <c r="AE15" s="46">
        <v>11</v>
      </c>
    </row>
    <row r="16" spans="1:32" x14ac:dyDescent="0.25">
      <c r="A16" s="46" t="s">
        <v>57</v>
      </c>
      <c r="B16" s="46" t="s">
        <v>58</v>
      </c>
      <c r="C16" s="12" t="s">
        <v>96</v>
      </c>
      <c r="D16" s="46">
        <v>29244483</v>
      </c>
      <c r="E16" s="47">
        <v>45191</v>
      </c>
      <c r="F16" s="47">
        <v>45191</v>
      </c>
      <c r="G16" s="46">
        <v>1</v>
      </c>
      <c r="H16" s="47">
        <v>45197</v>
      </c>
      <c r="I16" s="47">
        <v>45224</v>
      </c>
      <c r="J16" s="46">
        <v>27</v>
      </c>
      <c r="K16" s="47">
        <v>45139</v>
      </c>
      <c r="L16" s="47">
        <v>45291</v>
      </c>
      <c r="M16" s="46">
        <v>92004</v>
      </c>
      <c r="N16" s="12" t="s">
        <v>104</v>
      </c>
      <c r="O16" s="46" t="s">
        <v>78</v>
      </c>
      <c r="P16" s="46" t="s">
        <v>98</v>
      </c>
      <c r="Q16" s="46">
        <v>460</v>
      </c>
      <c r="R16" s="46">
        <v>0</v>
      </c>
      <c r="S16" s="46">
        <v>306.95</v>
      </c>
      <c r="T16" s="46">
        <v>153.05000000000001</v>
      </c>
      <c r="U16" s="48">
        <v>0.66720000000000002</v>
      </c>
      <c r="V16" s="46" t="s">
        <v>44</v>
      </c>
      <c r="W16" s="46">
        <v>223302161</v>
      </c>
      <c r="X16" s="46" t="s">
        <v>105</v>
      </c>
      <c r="Y16" s="46" t="s">
        <v>64</v>
      </c>
      <c r="Z16" s="46" t="s">
        <v>106</v>
      </c>
      <c r="AA16" s="12" t="s">
        <v>107</v>
      </c>
      <c r="AB16" s="46">
        <v>0</v>
      </c>
      <c r="AD16" s="46" t="s">
        <v>67</v>
      </c>
      <c r="AE16" s="46">
        <v>11</v>
      </c>
    </row>
    <row r="17" spans="1:31" x14ac:dyDescent="0.25">
      <c r="A17" s="46" t="s">
        <v>57</v>
      </c>
      <c r="B17" s="46" t="s">
        <v>58</v>
      </c>
      <c r="C17" s="12" t="s">
        <v>96</v>
      </c>
      <c r="D17" s="46">
        <v>29169071</v>
      </c>
      <c r="E17" s="47">
        <v>45202</v>
      </c>
      <c r="F17" s="47">
        <v>45202</v>
      </c>
      <c r="G17" s="46">
        <v>1</v>
      </c>
      <c r="H17" s="47">
        <v>45209</v>
      </c>
      <c r="I17" s="47">
        <v>45224</v>
      </c>
      <c r="J17" s="46">
        <v>15</v>
      </c>
      <c r="K17" s="47">
        <v>45139</v>
      </c>
      <c r="L17" s="47">
        <v>45291</v>
      </c>
      <c r="M17" s="46">
        <v>92004</v>
      </c>
      <c r="N17" s="12" t="s">
        <v>104</v>
      </c>
      <c r="O17" s="46" t="s">
        <v>78</v>
      </c>
      <c r="P17" s="46" t="s">
        <v>98</v>
      </c>
      <c r="Q17" s="46">
        <v>460</v>
      </c>
      <c r="R17" s="46">
        <v>0</v>
      </c>
      <c r="S17" s="46">
        <v>306.95</v>
      </c>
      <c r="T17" s="46">
        <v>153.05000000000001</v>
      </c>
      <c r="U17" s="48">
        <v>0.66720000000000002</v>
      </c>
      <c r="V17" s="46" t="s">
        <v>44</v>
      </c>
      <c r="W17" s="46">
        <v>223314389</v>
      </c>
      <c r="X17" s="46" t="s">
        <v>108</v>
      </c>
      <c r="Y17" s="46" t="s">
        <v>64</v>
      </c>
      <c r="Z17" s="46" t="s">
        <v>109</v>
      </c>
      <c r="AA17" s="12"/>
      <c r="AB17" s="46">
        <v>0</v>
      </c>
      <c r="AD17" s="46" t="s">
        <v>67</v>
      </c>
      <c r="AE17" s="46">
        <v>11</v>
      </c>
    </row>
    <row r="18" spans="1:31" x14ac:dyDescent="0.25">
      <c r="A18" s="46" t="s">
        <v>57</v>
      </c>
      <c r="B18" s="46" t="s">
        <v>58</v>
      </c>
      <c r="C18" s="12" t="s">
        <v>96</v>
      </c>
      <c r="D18" s="46">
        <v>29169071</v>
      </c>
      <c r="E18" s="47">
        <v>45202</v>
      </c>
      <c r="F18" s="47">
        <v>45202</v>
      </c>
      <c r="G18" s="46">
        <v>1</v>
      </c>
      <c r="H18" s="47">
        <v>45209</v>
      </c>
      <c r="I18" s="47">
        <v>45224</v>
      </c>
      <c r="J18" s="46">
        <v>15</v>
      </c>
      <c r="K18" s="47">
        <v>45139</v>
      </c>
      <c r="L18" s="47">
        <v>45291</v>
      </c>
      <c r="M18" s="46">
        <v>92015</v>
      </c>
      <c r="N18" s="12" t="s">
        <v>102</v>
      </c>
      <c r="O18" s="46" t="s">
        <v>78</v>
      </c>
      <c r="P18" s="46" t="s">
        <v>98</v>
      </c>
      <c r="Q18" s="46">
        <v>59</v>
      </c>
      <c r="R18" s="46">
        <v>0</v>
      </c>
      <c r="S18" s="46">
        <v>47.2</v>
      </c>
      <c r="T18" s="46">
        <v>11.8</v>
      </c>
      <c r="U18" s="48">
        <v>0.8</v>
      </c>
      <c r="V18" s="46" t="s">
        <v>44</v>
      </c>
      <c r="W18" s="46">
        <v>223314389</v>
      </c>
      <c r="X18" s="46" t="s">
        <v>108</v>
      </c>
      <c r="Y18" s="46" t="s">
        <v>64</v>
      </c>
      <c r="Z18" s="46" t="s">
        <v>109</v>
      </c>
      <c r="AA18" s="12"/>
      <c r="AB18" s="46">
        <v>0</v>
      </c>
      <c r="AD18" s="46" t="s">
        <v>67</v>
      </c>
      <c r="AE18" s="46">
        <v>11</v>
      </c>
    </row>
    <row r="19" spans="1:31" x14ac:dyDescent="0.25">
      <c r="A19" s="46" t="s">
        <v>57</v>
      </c>
      <c r="B19" s="46" t="s">
        <v>58</v>
      </c>
      <c r="C19" s="12" t="s">
        <v>110</v>
      </c>
      <c r="D19" s="46">
        <v>29631482</v>
      </c>
      <c r="E19" s="47">
        <v>45204</v>
      </c>
      <c r="F19" s="47">
        <v>45204</v>
      </c>
      <c r="G19" s="46">
        <v>1</v>
      </c>
      <c r="H19" s="47">
        <v>45265</v>
      </c>
      <c r="I19" s="47">
        <v>45273</v>
      </c>
      <c r="J19" s="46">
        <v>8</v>
      </c>
      <c r="K19" s="47">
        <v>45139</v>
      </c>
      <c r="L19" s="47">
        <v>45291</v>
      </c>
      <c r="M19" s="46">
        <v>71045</v>
      </c>
      <c r="N19" s="12" t="s">
        <v>111</v>
      </c>
      <c r="O19" s="46" t="s">
        <v>61</v>
      </c>
      <c r="P19" s="46" t="s">
        <v>62</v>
      </c>
      <c r="Q19" s="46">
        <v>61</v>
      </c>
      <c r="R19" s="46">
        <v>0</v>
      </c>
      <c r="S19" s="46">
        <v>54.05</v>
      </c>
      <c r="T19" s="46">
        <v>6.95</v>
      </c>
      <c r="U19" s="48">
        <v>0.88600000000000001</v>
      </c>
      <c r="V19" s="46" t="s">
        <v>44</v>
      </c>
      <c r="W19" s="46">
        <v>223401836</v>
      </c>
      <c r="X19" s="46" t="s">
        <v>112</v>
      </c>
      <c r="Y19" s="46" t="s">
        <v>64</v>
      </c>
      <c r="Z19" s="46" t="s">
        <v>113</v>
      </c>
      <c r="AA19" s="12" t="s">
        <v>114</v>
      </c>
      <c r="AB19" s="46">
        <v>0</v>
      </c>
      <c r="AD19" s="46" t="s">
        <v>67</v>
      </c>
      <c r="AE19" s="46">
        <v>23</v>
      </c>
    </row>
    <row r="20" spans="1:31" x14ac:dyDescent="0.25">
      <c r="A20" s="46" t="s">
        <v>57</v>
      </c>
      <c r="B20" s="46" t="s">
        <v>58</v>
      </c>
      <c r="C20" s="12" t="s">
        <v>110</v>
      </c>
      <c r="D20" s="46">
        <v>29631482</v>
      </c>
      <c r="E20" s="47">
        <v>45204</v>
      </c>
      <c r="F20" s="47">
        <v>45204</v>
      </c>
      <c r="G20" s="46">
        <v>1</v>
      </c>
      <c r="H20" s="47">
        <v>45265</v>
      </c>
      <c r="I20" s="47">
        <v>45273</v>
      </c>
      <c r="J20" s="46">
        <v>8</v>
      </c>
      <c r="K20" s="47">
        <v>45139</v>
      </c>
      <c r="L20" s="47">
        <v>45291</v>
      </c>
      <c r="M20" s="46">
        <v>93970</v>
      </c>
      <c r="N20" s="12" t="s">
        <v>115</v>
      </c>
      <c r="O20" s="46" t="s">
        <v>61</v>
      </c>
      <c r="P20" s="46" t="s">
        <v>62</v>
      </c>
      <c r="Q20" s="46">
        <v>251</v>
      </c>
      <c r="R20" s="46">
        <v>0</v>
      </c>
      <c r="S20" s="46">
        <v>225.07</v>
      </c>
      <c r="T20" s="46">
        <v>25.93</v>
      </c>
      <c r="U20" s="48">
        <v>0.89659999999999995</v>
      </c>
      <c r="V20" s="46" t="s">
        <v>44</v>
      </c>
      <c r="W20" s="46">
        <v>223401869</v>
      </c>
      <c r="X20" s="46" t="s">
        <v>116</v>
      </c>
      <c r="Y20" s="46" t="s">
        <v>64</v>
      </c>
      <c r="Z20" s="46" t="s">
        <v>117</v>
      </c>
      <c r="AA20" s="12" t="s">
        <v>118</v>
      </c>
      <c r="AB20" s="46">
        <v>0</v>
      </c>
      <c r="AD20" s="46" t="s">
        <v>67</v>
      </c>
      <c r="AE20" s="46">
        <v>21</v>
      </c>
    </row>
    <row r="21" spans="1:31" x14ac:dyDescent="0.25">
      <c r="A21" s="46" t="s">
        <v>57</v>
      </c>
      <c r="B21" s="46" t="s">
        <v>58</v>
      </c>
      <c r="C21" s="12" t="s">
        <v>110</v>
      </c>
      <c r="D21" s="46">
        <v>29631482</v>
      </c>
      <c r="E21" s="47">
        <v>45204</v>
      </c>
      <c r="F21" s="47">
        <v>45204</v>
      </c>
      <c r="G21" s="46">
        <v>1</v>
      </c>
      <c r="H21" s="47">
        <v>45265</v>
      </c>
      <c r="I21" s="47">
        <v>45273</v>
      </c>
      <c r="J21" s="46">
        <v>8</v>
      </c>
      <c r="K21" s="47">
        <v>45139</v>
      </c>
      <c r="L21" s="47">
        <v>45291</v>
      </c>
      <c r="M21" s="46">
        <v>70450</v>
      </c>
      <c r="N21" s="12" t="s">
        <v>119</v>
      </c>
      <c r="O21" s="46" t="s">
        <v>61</v>
      </c>
      <c r="P21" s="46" t="s">
        <v>62</v>
      </c>
      <c r="Q21" s="46">
        <v>296</v>
      </c>
      <c r="R21" s="46">
        <v>0</v>
      </c>
      <c r="S21" s="46">
        <v>263.92</v>
      </c>
      <c r="T21" s="46">
        <v>32.08</v>
      </c>
      <c r="U21" s="48">
        <v>0.89159999999999995</v>
      </c>
      <c r="V21" s="46" t="s">
        <v>44</v>
      </c>
      <c r="W21" s="46">
        <v>223401931</v>
      </c>
      <c r="X21" s="46" t="s">
        <v>120</v>
      </c>
      <c r="Y21" s="46" t="s">
        <v>64</v>
      </c>
      <c r="Z21" s="46" t="s">
        <v>109</v>
      </c>
      <c r="AA21" s="12"/>
      <c r="AB21" s="46">
        <v>0</v>
      </c>
      <c r="AD21" s="46" t="s">
        <v>67</v>
      </c>
      <c r="AE21" s="46">
        <v>21</v>
      </c>
    </row>
    <row r="22" spans="1:31" x14ac:dyDescent="0.25">
      <c r="A22" s="46" t="s">
        <v>57</v>
      </c>
      <c r="B22" s="46" t="s">
        <v>58</v>
      </c>
      <c r="C22" s="12" t="s">
        <v>110</v>
      </c>
      <c r="D22" s="46">
        <v>29024004</v>
      </c>
      <c r="E22" s="47">
        <v>45149</v>
      </c>
      <c r="F22" s="47">
        <v>45149</v>
      </c>
      <c r="G22" s="46">
        <v>1</v>
      </c>
      <c r="H22" s="47">
        <v>45212</v>
      </c>
      <c r="I22" s="47">
        <v>45224</v>
      </c>
      <c r="J22" s="46">
        <v>12</v>
      </c>
      <c r="K22" s="47">
        <v>45139</v>
      </c>
      <c r="L22" s="47">
        <v>45291</v>
      </c>
      <c r="M22" s="46">
        <v>70450</v>
      </c>
      <c r="N22" s="12" t="s">
        <v>119</v>
      </c>
      <c r="O22" s="46" t="s">
        <v>61</v>
      </c>
      <c r="P22" s="46" t="s">
        <v>121</v>
      </c>
      <c r="Q22" s="46">
        <v>296</v>
      </c>
      <c r="R22" s="46">
        <v>0</v>
      </c>
      <c r="S22" s="46">
        <v>263.92</v>
      </c>
      <c r="T22" s="46">
        <v>32.08</v>
      </c>
      <c r="U22" s="48">
        <v>0.89159999999999995</v>
      </c>
      <c r="V22" s="46" t="s">
        <v>44</v>
      </c>
      <c r="W22" s="46">
        <v>223318645</v>
      </c>
      <c r="X22" s="46" t="s">
        <v>122</v>
      </c>
      <c r="Y22" s="46" t="s">
        <v>64</v>
      </c>
      <c r="Z22" s="46" t="s">
        <v>123</v>
      </c>
      <c r="AA22" s="12" t="s">
        <v>124</v>
      </c>
      <c r="AB22" s="46">
        <v>0</v>
      </c>
      <c r="AD22" s="46" t="s">
        <v>67</v>
      </c>
      <c r="AE22" s="46">
        <v>23</v>
      </c>
    </row>
    <row r="23" spans="1:31" x14ac:dyDescent="0.25">
      <c r="A23" s="46" t="s">
        <v>57</v>
      </c>
      <c r="B23" s="46" t="s">
        <v>58</v>
      </c>
      <c r="C23" s="12" t="s">
        <v>110</v>
      </c>
      <c r="D23" s="46">
        <v>29640714</v>
      </c>
      <c r="E23" s="47">
        <v>45204</v>
      </c>
      <c r="F23" s="47">
        <v>45204</v>
      </c>
      <c r="G23" s="46">
        <v>1</v>
      </c>
      <c r="H23" s="47">
        <v>45265</v>
      </c>
      <c r="I23" s="47">
        <v>45273</v>
      </c>
      <c r="J23" s="46">
        <v>8</v>
      </c>
      <c r="K23" s="47">
        <v>45139</v>
      </c>
      <c r="L23" s="47">
        <v>45291</v>
      </c>
      <c r="M23" s="46">
        <v>70450</v>
      </c>
      <c r="N23" s="12" t="s">
        <v>119</v>
      </c>
      <c r="O23" s="46" t="s">
        <v>61</v>
      </c>
      <c r="P23" s="46" t="s">
        <v>62</v>
      </c>
      <c r="Q23" s="46">
        <v>296</v>
      </c>
      <c r="R23" s="46">
        <v>0</v>
      </c>
      <c r="S23" s="46">
        <v>263.92</v>
      </c>
      <c r="T23" s="46">
        <v>32.08</v>
      </c>
      <c r="U23" s="48">
        <v>0.89159999999999995</v>
      </c>
      <c r="V23" s="46" t="s">
        <v>44</v>
      </c>
      <c r="W23" s="46">
        <v>223401854</v>
      </c>
      <c r="X23" s="46" t="s">
        <v>125</v>
      </c>
      <c r="Y23" s="46" t="s">
        <v>64</v>
      </c>
      <c r="Z23" s="46" t="s">
        <v>126</v>
      </c>
      <c r="AA23" s="12" t="s">
        <v>127</v>
      </c>
      <c r="AB23" s="46">
        <v>0</v>
      </c>
      <c r="AD23" s="46" t="s">
        <v>67</v>
      </c>
      <c r="AE23" s="46">
        <v>23</v>
      </c>
    </row>
    <row r="24" spans="1:31" x14ac:dyDescent="0.25">
      <c r="A24" s="46" t="s">
        <v>57</v>
      </c>
      <c r="B24" s="46" t="s">
        <v>58</v>
      </c>
      <c r="C24" s="12" t="s">
        <v>110</v>
      </c>
      <c r="D24" s="46">
        <v>29640714</v>
      </c>
      <c r="E24" s="47">
        <v>45204</v>
      </c>
      <c r="F24" s="47">
        <v>45204</v>
      </c>
      <c r="G24" s="46">
        <v>1</v>
      </c>
      <c r="H24" s="47">
        <v>45265</v>
      </c>
      <c r="I24" s="47">
        <v>45273</v>
      </c>
      <c r="J24" s="46">
        <v>8</v>
      </c>
      <c r="K24" s="47">
        <v>45139</v>
      </c>
      <c r="L24" s="47">
        <v>45291</v>
      </c>
      <c r="M24" s="46">
        <v>73562</v>
      </c>
      <c r="N24" s="12" t="s">
        <v>128</v>
      </c>
      <c r="O24" s="46" t="s">
        <v>61</v>
      </c>
      <c r="P24" s="46" t="s">
        <v>62</v>
      </c>
      <c r="Q24" s="46">
        <v>69</v>
      </c>
      <c r="R24" s="46">
        <v>0</v>
      </c>
      <c r="S24" s="46">
        <v>61.78</v>
      </c>
      <c r="T24" s="46">
        <v>7.22</v>
      </c>
      <c r="U24" s="48">
        <v>0.89529999999999998</v>
      </c>
      <c r="V24" s="46" t="s">
        <v>44</v>
      </c>
      <c r="W24" s="46">
        <v>223401867</v>
      </c>
      <c r="X24" s="46" t="s">
        <v>129</v>
      </c>
      <c r="Y24" s="46" t="s">
        <v>64</v>
      </c>
      <c r="Z24" s="46" t="s">
        <v>130</v>
      </c>
      <c r="AA24" s="12" t="s">
        <v>131</v>
      </c>
      <c r="AB24" s="46">
        <v>0</v>
      </c>
      <c r="AD24" s="46" t="s">
        <v>67</v>
      </c>
      <c r="AE24" s="46">
        <v>23</v>
      </c>
    </row>
    <row r="25" spans="1:31" x14ac:dyDescent="0.25">
      <c r="A25" s="46" t="s">
        <v>57</v>
      </c>
      <c r="B25" s="46" t="s">
        <v>58</v>
      </c>
      <c r="C25" s="12" t="s">
        <v>132</v>
      </c>
      <c r="D25" s="46">
        <v>29512673</v>
      </c>
      <c r="E25" s="47">
        <v>45216</v>
      </c>
      <c r="F25" s="47">
        <v>45216</v>
      </c>
      <c r="G25" s="46">
        <v>1</v>
      </c>
      <c r="H25" s="47">
        <v>45219</v>
      </c>
      <c r="I25" s="47">
        <v>45231</v>
      </c>
      <c r="J25" s="46">
        <v>12</v>
      </c>
      <c r="K25" s="47">
        <v>45139</v>
      </c>
      <c r="L25" s="47">
        <v>45291</v>
      </c>
      <c r="M25" s="46">
        <v>92014</v>
      </c>
      <c r="N25" s="12" t="s">
        <v>133</v>
      </c>
      <c r="O25" s="46" t="s">
        <v>78</v>
      </c>
      <c r="P25" s="46" t="s">
        <v>134</v>
      </c>
      <c r="Q25" s="46">
        <v>139</v>
      </c>
      <c r="R25" s="46">
        <v>0</v>
      </c>
      <c r="S25" s="46">
        <v>39.83</v>
      </c>
      <c r="T25" s="46">
        <v>99.17</v>
      </c>
      <c r="U25" s="48">
        <v>0.28649999999999998</v>
      </c>
      <c r="V25" s="46" t="s">
        <v>44</v>
      </c>
      <c r="W25" s="46">
        <v>223333838</v>
      </c>
      <c r="X25" s="46">
        <v>101823756067760</v>
      </c>
      <c r="Y25" s="46" t="s">
        <v>64</v>
      </c>
      <c r="Z25" s="46" t="s">
        <v>135</v>
      </c>
      <c r="AA25" s="12" t="s">
        <v>136</v>
      </c>
      <c r="AB25" s="46">
        <v>0</v>
      </c>
      <c r="AD25" s="46" t="s">
        <v>67</v>
      </c>
      <c r="AE25" s="46">
        <v>11</v>
      </c>
    </row>
    <row r="26" spans="1:31" x14ac:dyDescent="0.25">
      <c r="A26" s="46" t="s">
        <v>57</v>
      </c>
      <c r="B26" s="46" t="s">
        <v>58</v>
      </c>
      <c r="C26" s="12" t="s">
        <v>132</v>
      </c>
      <c r="D26" s="46">
        <v>29512673</v>
      </c>
      <c r="E26" s="47">
        <v>45216</v>
      </c>
      <c r="F26" s="47">
        <v>45216</v>
      </c>
      <c r="G26" s="46">
        <v>1</v>
      </c>
      <c r="H26" s="47">
        <v>45219</v>
      </c>
      <c r="I26" s="47">
        <v>45231</v>
      </c>
      <c r="J26" s="46">
        <v>12</v>
      </c>
      <c r="K26" s="47">
        <v>45139</v>
      </c>
      <c r="L26" s="47">
        <v>45291</v>
      </c>
      <c r="M26" s="46">
        <v>92015</v>
      </c>
      <c r="N26" s="12" t="s">
        <v>102</v>
      </c>
      <c r="O26" s="46" t="s">
        <v>78</v>
      </c>
      <c r="P26" s="46" t="s">
        <v>134</v>
      </c>
      <c r="Q26" s="46">
        <v>55</v>
      </c>
      <c r="R26" s="46">
        <v>0</v>
      </c>
      <c r="S26" s="46">
        <v>39.5</v>
      </c>
      <c r="T26" s="46">
        <v>15.5</v>
      </c>
      <c r="U26" s="48">
        <v>0.71809999999999996</v>
      </c>
      <c r="V26" s="46" t="s">
        <v>44</v>
      </c>
      <c r="W26" s="46">
        <v>223333838</v>
      </c>
      <c r="X26" s="46">
        <v>101823756067760</v>
      </c>
      <c r="Y26" s="46" t="s">
        <v>64</v>
      </c>
      <c r="Z26" s="46" t="s">
        <v>135</v>
      </c>
      <c r="AA26" s="12" t="s">
        <v>136</v>
      </c>
      <c r="AB26" s="46">
        <v>0</v>
      </c>
      <c r="AD26" s="46" t="s">
        <v>67</v>
      </c>
      <c r="AE26" s="46">
        <v>11</v>
      </c>
    </row>
    <row r="27" spans="1:31" x14ac:dyDescent="0.25">
      <c r="A27" s="46" t="s">
        <v>57</v>
      </c>
      <c r="B27" s="46" t="s">
        <v>58</v>
      </c>
      <c r="C27" s="12" t="s">
        <v>132</v>
      </c>
      <c r="D27" s="46">
        <v>29512673</v>
      </c>
      <c r="E27" s="47">
        <v>45216</v>
      </c>
      <c r="F27" s="47">
        <v>45216</v>
      </c>
      <c r="G27" s="46">
        <v>1</v>
      </c>
      <c r="H27" s="47">
        <v>45219</v>
      </c>
      <c r="I27" s="47">
        <v>45231</v>
      </c>
      <c r="J27" s="46">
        <v>12</v>
      </c>
      <c r="K27" s="47">
        <v>45139</v>
      </c>
      <c r="L27" s="47">
        <v>45291</v>
      </c>
      <c r="M27" s="46">
        <v>92250</v>
      </c>
      <c r="N27" s="12" t="s">
        <v>137</v>
      </c>
      <c r="O27" s="46" t="s">
        <v>78</v>
      </c>
      <c r="P27" s="46" t="s">
        <v>134</v>
      </c>
      <c r="Q27" s="46">
        <v>159</v>
      </c>
      <c r="R27" s="46">
        <v>0</v>
      </c>
      <c r="S27" s="46">
        <v>90.11</v>
      </c>
      <c r="T27" s="46">
        <v>68.89</v>
      </c>
      <c r="U27" s="48">
        <v>0.56669999999999998</v>
      </c>
      <c r="V27" s="46" t="s">
        <v>44</v>
      </c>
      <c r="W27" s="46">
        <v>223333838</v>
      </c>
      <c r="X27" s="46">
        <v>101823756067760</v>
      </c>
      <c r="Y27" s="46" t="s">
        <v>64</v>
      </c>
      <c r="Z27" s="46" t="s">
        <v>135</v>
      </c>
      <c r="AA27" s="12" t="s">
        <v>136</v>
      </c>
      <c r="AB27" s="46">
        <v>0</v>
      </c>
      <c r="AD27" s="46" t="s">
        <v>67</v>
      </c>
      <c r="AE27" s="46">
        <v>11</v>
      </c>
    </row>
    <row r="28" spans="1:31" x14ac:dyDescent="0.25">
      <c r="A28" s="46" t="s">
        <v>57</v>
      </c>
      <c r="B28" s="46" t="s">
        <v>58</v>
      </c>
      <c r="C28" s="12" t="s">
        <v>132</v>
      </c>
      <c r="D28" s="46">
        <v>29141580</v>
      </c>
      <c r="E28" s="47">
        <v>45180</v>
      </c>
      <c r="F28" s="47">
        <v>45180</v>
      </c>
      <c r="G28" s="46">
        <v>1</v>
      </c>
      <c r="H28" s="47">
        <v>45184</v>
      </c>
      <c r="I28" s="47">
        <v>45203</v>
      </c>
      <c r="J28" s="46">
        <v>19</v>
      </c>
      <c r="K28" s="47">
        <v>45139</v>
      </c>
      <c r="L28" s="47">
        <v>45291</v>
      </c>
      <c r="M28" s="46">
        <v>92004</v>
      </c>
      <c r="N28" s="12" t="s">
        <v>104</v>
      </c>
      <c r="O28" s="46" t="s">
        <v>78</v>
      </c>
      <c r="P28" s="46" t="s">
        <v>134</v>
      </c>
      <c r="Q28" s="46">
        <v>139</v>
      </c>
      <c r="R28" s="46">
        <v>0</v>
      </c>
      <c r="S28" s="46">
        <v>20.05</v>
      </c>
      <c r="T28" s="46">
        <v>118.95</v>
      </c>
      <c r="U28" s="48">
        <v>0.14419999999999999</v>
      </c>
      <c r="V28" s="46" t="s">
        <v>44</v>
      </c>
      <c r="W28" s="46">
        <v>223287590</v>
      </c>
      <c r="X28" s="46">
        <v>91323723195417</v>
      </c>
      <c r="Y28" s="46" t="s">
        <v>64</v>
      </c>
      <c r="Z28" s="46" t="s">
        <v>138</v>
      </c>
      <c r="AA28" s="12" t="s">
        <v>139</v>
      </c>
      <c r="AB28" s="46">
        <v>0</v>
      </c>
      <c r="AD28" s="46" t="s">
        <v>67</v>
      </c>
      <c r="AE28" s="46">
        <v>11</v>
      </c>
    </row>
    <row r="29" spans="1:31" x14ac:dyDescent="0.25">
      <c r="A29" s="46" t="s">
        <v>57</v>
      </c>
      <c r="B29" s="46" t="s">
        <v>58</v>
      </c>
      <c r="C29" s="12" t="s">
        <v>132</v>
      </c>
      <c r="D29" s="46">
        <v>29141580</v>
      </c>
      <c r="E29" s="47">
        <v>45180</v>
      </c>
      <c r="F29" s="47">
        <v>45180</v>
      </c>
      <c r="G29" s="46">
        <v>1</v>
      </c>
      <c r="H29" s="47">
        <v>45184</v>
      </c>
      <c r="I29" s="47">
        <v>45203</v>
      </c>
      <c r="J29" s="46">
        <v>19</v>
      </c>
      <c r="K29" s="47">
        <v>45139</v>
      </c>
      <c r="L29" s="47">
        <v>45291</v>
      </c>
      <c r="M29" s="46">
        <v>92015</v>
      </c>
      <c r="N29" s="12" t="s">
        <v>102</v>
      </c>
      <c r="O29" s="46" t="s">
        <v>78</v>
      </c>
      <c r="P29" s="46" t="s">
        <v>134</v>
      </c>
      <c r="Q29" s="46">
        <v>55</v>
      </c>
      <c r="R29" s="46">
        <v>0</v>
      </c>
      <c r="S29" s="46">
        <v>39.5</v>
      </c>
      <c r="T29" s="46">
        <v>15.5</v>
      </c>
      <c r="U29" s="48">
        <v>0.71809999999999996</v>
      </c>
      <c r="V29" s="46" t="s">
        <v>44</v>
      </c>
      <c r="W29" s="46">
        <v>223287590</v>
      </c>
      <c r="X29" s="46">
        <v>91323723195417</v>
      </c>
      <c r="Y29" s="46" t="s">
        <v>64</v>
      </c>
      <c r="Z29" s="46" t="s">
        <v>138</v>
      </c>
      <c r="AA29" s="12" t="s">
        <v>139</v>
      </c>
      <c r="AB29" s="46">
        <v>0</v>
      </c>
      <c r="AD29" s="46" t="s">
        <v>67</v>
      </c>
      <c r="AE29" s="46">
        <v>11</v>
      </c>
    </row>
    <row r="30" spans="1:31" x14ac:dyDescent="0.25">
      <c r="A30" s="46" t="s">
        <v>57</v>
      </c>
      <c r="B30" s="46" t="s">
        <v>58</v>
      </c>
      <c r="C30" s="12" t="s">
        <v>132</v>
      </c>
      <c r="D30" s="46">
        <v>29141580</v>
      </c>
      <c r="E30" s="47">
        <v>45180</v>
      </c>
      <c r="F30" s="47">
        <v>45180</v>
      </c>
      <c r="G30" s="46">
        <v>1</v>
      </c>
      <c r="H30" s="47">
        <v>45184</v>
      </c>
      <c r="I30" s="47">
        <v>45203</v>
      </c>
      <c r="J30" s="46">
        <v>19</v>
      </c>
      <c r="K30" s="47">
        <v>45139</v>
      </c>
      <c r="L30" s="47">
        <v>45291</v>
      </c>
      <c r="M30" s="46">
        <v>92250</v>
      </c>
      <c r="N30" s="12" t="s">
        <v>137</v>
      </c>
      <c r="O30" s="46" t="s">
        <v>78</v>
      </c>
      <c r="P30" s="46" t="s">
        <v>134</v>
      </c>
      <c r="Q30" s="46">
        <v>159</v>
      </c>
      <c r="R30" s="46">
        <v>0</v>
      </c>
      <c r="S30" s="46">
        <v>95.11</v>
      </c>
      <c r="T30" s="46">
        <v>63.89</v>
      </c>
      <c r="U30" s="48">
        <v>0.59809999999999997</v>
      </c>
      <c r="V30" s="46" t="s">
        <v>44</v>
      </c>
      <c r="W30" s="46">
        <v>223287590</v>
      </c>
      <c r="X30" s="46">
        <v>91323723195417</v>
      </c>
      <c r="Y30" s="46" t="s">
        <v>64</v>
      </c>
      <c r="Z30" s="46" t="s">
        <v>138</v>
      </c>
      <c r="AA30" s="12" t="s">
        <v>139</v>
      </c>
      <c r="AB30" s="46">
        <v>0</v>
      </c>
      <c r="AD30" s="46" t="s">
        <v>67</v>
      </c>
      <c r="AE30" s="46">
        <v>11</v>
      </c>
    </row>
    <row r="31" spans="1:31" x14ac:dyDescent="0.25">
      <c r="A31" s="46" t="s">
        <v>57</v>
      </c>
      <c r="B31" s="46" t="s">
        <v>58</v>
      </c>
      <c r="C31" s="12" t="s">
        <v>140</v>
      </c>
      <c r="D31" s="46">
        <v>28928196</v>
      </c>
      <c r="E31" s="47">
        <v>45159</v>
      </c>
      <c r="F31" s="47">
        <v>45159</v>
      </c>
      <c r="G31" s="46">
        <v>1</v>
      </c>
      <c r="H31" s="47">
        <v>45247</v>
      </c>
      <c r="I31" s="47">
        <v>45259</v>
      </c>
      <c r="J31" s="46">
        <v>12</v>
      </c>
      <c r="K31" s="47">
        <v>45139</v>
      </c>
      <c r="L31" s="47">
        <v>45291</v>
      </c>
      <c r="M31" s="46">
        <v>99232</v>
      </c>
      <c r="N31" s="12" t="s">
        <v>71</v>
      </c>
      <c r="O31" s="46" t="s">
        <v>61</v>
      </c>
      <c r="P31" s="46" t="s">
        <v>62</v>
      </c>
      <c r="Q31" s="46">
        <v>150</v>
      </c>
      <c r="R31" s="46">
        <v>0</v>
      </c>
      <c r="S31" s="46">
        <v>104.52</v>
      </c>
      <c r="T31" s="46">
        <v>45.48</v>
      </c>
      <c r="U31" s="48">
        <v>0.69679999999999997</v>
      </c>
      <c r="V31" s="46" t="s">
        <v>44</v>
      </c>
      <c r="W31" s="46">
        <v>223377391</v>
      </c>
      <c r="X31" s="46" t="s">
        <v>141</v>
      </c>
      <c r="Y31" s="46" t="s">
        <v>64</v>
      </c>
      <c r="Z31" s="46" t="s">
        <v>142</v>
      </c>
      <c r="AA31" s="12" t="s">
        <v>143</v>
      </c>
      <c r="AB31" s="46">
        <v>0</v>
      </c>
      <c r="AD31" s="46" t="s">
        <v>67</v>
      </c>
      <c r="AE31" s="46">
        <v>21</v>
      </c>
    </row>
    <row r="32" spans="1:31" x14ac:dyDescent="0.25">
      <c r="A32" s="46" t="s">
        <v>57</v>
      </c>
      <c r="B32" s="46" t="s">
        <v>58</v>
      </c>
      <c r="C32" s="12" t="s">
        <v>140</v>
      </c>
      <c r="D32" s="46">
        <v>28928196</v>
      </c>
      <c r="E32" s="47">
        <v>45160</v>
      </c>
      <c r="F32" s="47">
        <v>45160</v>
      </c>
      <c r="G32" s="46">
        <v>1</v>
      </c>
      <c r="H32" s="47">
        <v>45247</v>
      </c>
      <c r="I32" s="47">
        <v>45259</v>
      </c>
      <c r="J32" s="46">
        <v>12</v>
      </c>
      <c r="K32" s="47">
        <v>45139</v>
      </c>
      <c r="L32" s="47">
        <v>45291</v>
      </c>
      <c r="M32" s="46">
        <v>99232</v>
      </c>
      <c r="N32" s="12" t="s">
        <v>71</v>
      </c>
      <c r="O32" s="46" t="s">
        <v>61</v>
      </c>
      <c r="P32" s="46" t="s">
        <v>62</v>
      </c>
      <c r="Q32" s="46">
        <v>150</v>
      </c>
      <c r="R32" s="46">
        <v>0</v>
      </c>
      <c r="S32" s="46">
        <v>104.52</v>
      </c>
      <c r="T32" s="46">
        <v>45.48</v>
      </c>
      <c r="U32" s="48">
        <v>0.69679999999999997</v>
      </c>
      <c r="V32" s="46" t="s">
        <v>44</v>
      </c>
      <c r="W32" s="46">
        <v>223377391</v>
      </c>
      <c r="X32" s="46" t="s">
        <v>141</v>
      </c>
      <c r="Y32" s="46" t="s">
        <v>64</v>
      </c>
      <c r="Z32" s="46" t="s">
        <v>142</v>
      </c>
      <c r="AA32" s="12" t="s">
        <v>143</v>
      </c>
      <c r="AB32" s="46">
        <v>0</v>
      </c>
      <c r="AD32" s="46" t="s">
        <v>67</v>
      </c>
      <c r="AE32" s="46">
        <v>21</v>
      </c>
    </row>
    <row r="33" spans="1:31" x14ac:dyDescent="0.25">
      <c r="A33" s="46" t="s">
        <v>57</v>
      </c>
      <c r="B33" s="46" t="s">
        <v>58</v>
      </c>
      <c r="C33" s="12" t="s">
        <v>140</v>
      </c>
      <c r="D33" s="46">
        <v>28928196</v>
      </c>
      <c r="E33" s="47">
        <v>45161</v>
      </c>
      <c r="F33" s="47">
        <v>45161</v>
      </c>
      <c r="G33" s="46">
        <v>1</v>
      </c>
      <c r="H33" s="47">
        <v>45247</v>
      </c>
      <c r="I33" s="47">
        <v>45259</v>
      </c>
      <c r="J33" s="46">
        <v>12</v>
      </c>
      <c r="K33" s="47">
        <v>45139</v>
      </c>
      <c r="L33" s="47">
        <v>45291</v>
      </c>
      <c r="M33" s="46">
        <v>99232</v>
      </c>
      <c r="N33" s="12" t="s">
        <v>71</v>
      </c>
      <c r="O33" s="46" t="s">
        <v>61</v>
      </c>
      <c r="P33" s="46" t="s">
        <v>62</v>
      </c>
      <c r="Q33" s="46">
        <v>150</v>
      </c>
      <c r="R33" s="46">
        <v>0</v>
      </c>
      <c r="S33" s="46">
        <v>104.52</v>
      </c>
      <c r="T33" s="46">
        <v>45.48</v>
      </c>
      <c r="U33" s="48">
        <v>0.69679999999999997</v>
      </c>
      <c r="V33" s="46" t="s">
        <v>44</v>
      </c>
      <c r="W33" s="46">
        <v>223377391</v>
      </c>
      <c r="X33" s="46" t="s">
        <v>141</v>
      </c>
      <c r="Y33" s="46" t="s">
        <v>64</v>
      </c>
      <c r="Z33" s="46" t="s">
        <v>142</v>
      </c>
      <c r="AA33" s="12" t="s">
        <v>143</v>
      </c>
      <c r="AB33" s="46">
        <v>0</v>
      </c>
      <c r="AD33" s="46" t="s">
        <v>67</v>
      </c>
      <c r="AE33" s="46">
        <v>21</v>
      </c>
    </row>
    <row r="34" spans="1:31" x14ac:dyDescent="0.25">
      <c r="A34" s="46" t="s">
        <v>57</v>
      </c>
      <c r="B34" s="46" t="s">
        <v>58</v>
      </c>
      <c r="C34" s="12" t="s">
        <v>140</v>
      </c>
      <c r="D34" s="46">
        <v>28928196</v>
      </c>
      <c r="E34" s="47">
        <v>45162</v>
      </c>
      <c r="F34" s="47">
        <v>45162</v>
      </c>
      <c r="G34" s="46">
        <v>1</v>
      </c>
      <c r="H34" s="47">
        <v>45247</v>
      </c>
      <c r="I34" s="47">
        <v>45259</v>
      </c>
      <c r="J34" s="46">
        <v>12</v>
      </c>
      <c r="K34" s="47">
        <v>45139</v>
      </c>
      <c r="L34" s="47">
        <v>45291</v>
      </c>
      <c r="M34" s="46">
        <v>99232</v>
      </c>
      <c r="N34" s="12" t="s">
        <v>71</v>
      </c>
      <c r="O34" s="46" t="s">
        <v>61</v>
      </c>
      <c r="P34" s="46" t="s">
        <v>62</v>
      </c>
      <c r="Q34" s="46">
        <v>150</v>
      </c>
      <c r="R34" s="46">
        <v>0</v>
      </c>
      <c r="S34" s="46">
        <v>104.52</v>
      </c>
      <c r="T34" s="46">
        <v>45.48</v>
      </c>
      <c r="U34" s="48">
        <v>0.69679999999999997</v>
      </c>
      <c r="V34" s="46" t="s">
        <v>44</v>
      </c>
      <c r="W34" s="46">
        <v>223377391</v>
      </c>
      <c r="X34" s="46" t="s">
        <v>141</v>
      </c>
      <c r="Y34" s="46" t="s">
        <v>64</v>
      </c>
      <c r="Z34" s="46" t="s">
        <v>142</v>
      </c>
      <c r="AA34" s="12" t="s">
        <v>143</v>
      </c>
      <c r="AB34" s="46">
        <v>0</v>
      </c>
      <c r="AD34" s="46" t="s">
        <v>67</v>
      </c>
      <c r="AE34" s="46">
        <v>21</v>
      </c>
    </row>
    <row r="35" spans="1:31" x14ac:dyDescent="0.25">
      <c r="A35" s="46" t="s">
        <v>57</v>
      </c>
      <c r="B35" s="46" t="s">
        <v>58</v>
      </c>
      <c r="C35" s="12" t="s">
        <v>140</v>
      </c>
      <c r="D35" s="46">
        <v>28928196</v>
      </c>
      <c r="E35" s="47">
        <v>45163</v>
      </c>
      <c r="F35" s="47">
        <v>45163</v>
      </c>
      <c r="G35" s="46">
        <v>1</v>
      </c>
      <c r="H35" s="47">
        <v>45247</v>
      </c>
      <c r="I35" s="47">
        <v>45259</v>
      </c>
      <c r="J35" s="46">
        <v>12</v>
      </c>
      <c r="K35" s="47">
        <v>45139</v>
      </c>
      <c r="L35" s="47">
        <v>45291</v>
      </c>
      <c r="M35" s="46">
        <v>99232</v>
      </c>
      <c r="N35" s="12" t="s">
        <v>71</v>
      </c>
      <c r="O35" s="46" t="s">
        <v>61</v>
      </c>
      <c r="P35" s="46" t="s">
        <v>62</v>
      </c>
      <c r="Q35" s="46">
        <v>150</v>
      </c>
      <c r="R35" s="46">
        <v>0</v>
      </c>
      <c r="S35" s="46">
        <v>104.52</v>
      </c>
      <c r="T35" s="46">
        <v>45.48</v>
      </c>
      <c r="U35" s="48">
        <v>0.69679999999999997</v>
      </c>
      <c r="V35" s="46" t="s">
        <v>44</v>
      </c>
      <c r="W35" s="46">
        <v>223377391</v>
      </c>
      <c r="X35" s="46" t="s">
        <v>141</v>
      </c>
      <c r="Y35" s="46" t="s">
        <v>64</v>
      </c>
      <c r="Z35" s="46" t="s">
        <v>142</v>
      </c>
      <c r="AA35" s="12" t="s">
        <v>143</v>
      </c>
      <c r="AB35" s="46">
        <v>0</v>
      </c>
      <c r="AD35" s="46" t="s">
        <v>67</v>
      </c>
      <c r="AE35" s="46">
        <v>21</v>
      </c>
    </row>
    <row r="36" spans="1:31" x14ac:dyDescent="0.25">
      <c r="A36" s="46" t="s">
        <v>57</v>
      </c>
      <c r="B36" s="46" t="s">
        <v>58</v>
      </c>
      <c r="C36" s="12" t="s">
        <v>140</v>
      </c>
      <c r="D36" s="46">
        <v>28928196</v>
      </c>
      <c r="E36" s="47">
        <v>45152</v>
      </c>
      <c r="F36" s="47">
        <v>45152</v>
      </c>
      <c r="G36" s="46">
        <v>1</v>
      </c>
      <c r="H36" s="47">
        <v>45247</v>
      </c>
      <c r="I36" s="47">
        <v>45259</v>
      </c>
      <c r="J36" s="46">
        <v>12</v>
      </c>
      <c r="K36" s="47">
        <v>45139</v>
      </c>
      <c r="L36" s="47">
        <v>45291</v>
      </c>
      <c r="M36" s="46">
        <v>99222</v>
      </c>
      <c r="N36" s="12" t="s">
        <v>74</v>
      </c>
      <c r="O36" s="46" t="s">
        <v>61</v>
      </c>
      <c r="P36" s="46" t="s">
        <v>62</v>
      </c>
      <c r="Q36" s="46">
        <v>300</v>
      </c>
      <c r="R36" s="46">
        <v>0</v>
      </c>
      <c r="S36" s="46">
        <v>204.95</v>
      </c>
      <c r="T36" s="46">
        <v>95.05</v>
      </c>
      <c r="U36" s="48">
        <v>0.68310000000000004</v>
      </c>
      <c r="V36" s="46" t="s">
        <v>44</v>
      </c>
      <c r="W36" s="46">
        <v>223377392</v>
      </c>
      <c r="X36" s="46" t="s">
        <v>144</v>
      </c>
      <c r="Y36" s="46" t="s">
        <v>64</v>
      </c>
      <c r="Z36" s="46" t="s">
        <v>142</v>
      </c>
      <c r="AA36" s="12" t="s">
        <v>143</v>
      </c>
      <c r="AB36" s="46">
        <v>0</v>
      </c>
      <c r="AD36" s="46" t="s">
        <v>67</v>
      </c>
      <c r="AE36" s="46">
        <v>21</v>
      </c>
    </row>
    <row r="37" spans="1:31" x14ac:dyDescent="0.25">
      <c r="A37" s="46" t="s">
        <v>57</v>
      </c>
      <c r="B37" s="46" t="s">
        <v>58</v>
      </c>
      <c r="C37" s="12" t="s">
        <v>140</v>
      </c>
      <c r="D37" s="46">
        <v>28928196</v>
      </c>
      <c r="E37" s="47">
        <v>45153</v>
      </c>
      <c r="F37" s="47">
        <v>45153</v>
      </c>
      <c r="G37" s="46">
        <v>1</v>
      </c>
      <c r="H37" s="47">
        <v>45247</v>
      </c>
      <c r="I37" s="47">
        <v>45259</v>
      </c>
      <c r="J37" s="46">
        <v>12</v>
      </c>
      <c r="K37" s="47">
        <v>45139</v>
      </c>
      <c r="L37" s="47">
        <v>45291</v>
      </c>
      <c r="M37" s="46">
        <v>99232</v>
      </c>
      <c r="N37" s="12" t="s">
        <v>71</v>
      </c>
      <c r="O37" s="46" t="s">
        <v>61</v>
      </c>
      <c r="P37" s="46" t="s">
        <v>62</v>
      </c>
      <c r="Q37" s="46">
        <v>150</v>
      </c>
      <c r="R37" s="46">
        <v>0</v>
      </c>
      <c r="S37" s="46">
        <v>104.52</v>
      </c>
      <c r="T37" s="46">
        <v>45.48</v>
      </c>
      <c r="U37" s="48">
        <v>0.69679999999999997</v>
      </c>
      <c r="V37" s="46" t="s">
        <v>44</v>
      </c>
      <c r="W37" s="46">
        <v>223377392</v>
      </c>
      <c r="X37" s="46" t="s">
        <v>144</v>
      </c>
      <c r="Y37" s="46" t="s">
        <v>64</v>
      </c>
      <c r="Z37" s="46" t="s">
        <v>142</v>
      </c>
      <c r="AA37" s="12" t="s">
        <v>143</v>
      </c>
      <c r="AB37" s="46">
        <v>0</v>
      </c>
      <c r="AD37" s="46" t="s">
        <v>67</v>
      </c>
      <c r="AE37" s="46">
        <v>21</v>
      </c>
    </row>
    <row r="38" spans="1:31" x14ac:dyDescent="0.25">
      <c r="A38" s="46" t="s">
        <v>57</v>
      </c>
      <c r="B38" s="46" t="s">
        <v>58</v>
      </c>
      <c r="C38" s="12" t="s">
        <v>140</v>
      </c>
      <c r="D38" s="46">
        <v>28928196</v>
      </c>
      <c r="E38" s="47">
        <v>45154</v>
      </c>
      <c r="F38" s="47">
        <v>45154</v>
      </c>
      <c r="G38" s="46">
        <v>1</v>
      </c>
      <c r="H38" s="47">
        <v>45247</v>
      </c>
      <c r="I38" s="47">
        <v>45259</v>
      </c>
      <c r="J38" s="46">
        <v>12</v>
      </c>
      <c r="K38" s="47">
        <v>45139</v>
      </c>
      <c r="L38" s="47">
        <v>45291</v>
      </c>
      <c r="M38" s="46">
        <v>99232</v>
      </c>
      <c r="N38" s="12" t="s">
        <v>71</v>
      </c>
      <c r="O38" s="46" t="s">
        <v>61</v>
      </c>
      <c r="P38" s="46" t="s">
        <v>62</v>
      </c>
      <c r="Q38" s="46">
        <v>150</v>
      </c>
      <c r="R38" s="46">
        <v>0</v>
      </c>
      <c r="S38" s="46">
        <v>104.52</v>
      </c>
      <c r="T38" s="46">
        <v>45.48</v>
      </c>
      <c r="U38" s="48">
        <v>0.69679999999999997</v>
      </c>
      <c r="V38" s="46" t="s">
        <v>44</v>
      </c>
      <c r="W38" s="46">
        <v>223377392</v>
      </c>
      <c r="X38" s="46" t="s">
        <v>144</v>
      </c>
      <c r="Y38" s="46" t="s">
        <v>64</v>
      </c>
      <c r="Z38" s="46" t="s">
        <v>142</v>
      </c>
      <c r="AA38" s="12" t="s">
        <v>143</v>
      </c>
      <c r="AB38" s="46">
        <v>0</v>
      </c>
      <c r="AD38" s="46" t="s">
        <v>67</v>
      </c>
      <c r="AE38" s="46">
        <v>21</v>
      </c>
    </row>
    <row r="39" spans="1:31" x14ac:dyDescent="0.25">
      <c r="A39" s="46" t="s">
        <v>57</v>
      </c>
      <c r="B39" s="46" t="s">
        <v>58</v>
      </c>
      <c r="C39" s="12" t="s">
        <v>140</v>
      </c>
      <c r="D39" s="46">
        <v>28928196</v>
      </c>
      <c r="E39" s="47">
        <v>45155</v>
      </c>
      <c r="F39" s="47">
        <v>45155</v>
      </c>
      <c r="G39" s="46">
        <v>1</v>
      </c>
      <c r="H39" s="47">
        <v>45247</v>
      </c>
      <c r="I39" s="47">
        <v>45259</v>
      </c>
      <c r="J39" s="46">
        <v>12</v>
      </c>
      <c r="K39" s="47">
        <v>45139</v>
      </c>
      <c r="L39" s="47">
        <v>45291</v>
      </c>
      <c r="M39" s="46">
        <v>99232</v>
      </c>
      <c r="N39" s="12" t="s">
        <v>71</v>
      </c>
      <c r="O39" s="46" t="s">
        <v>61</v>
      </c>
      <c r="P39" s="46" t="s">
        <v>62</v>
      </c>
      <c r="Q39" s="46">
        <v>150</v>
      </c>
      <c r="R39" s="46">
        <v>0</v>
      </c>
      <c r="S39" s="46">
        <v>104.52</v>
      </c>
      <c r="T39" s="46">
        <v>45.48</v>
      </c>
      <c r="U39" s="48">
        <v>0.69679999999999997</v>
      </c>
      <c r="V39" s="46" t="s">
        <v>44</v>
      </c>
      <c r="W39" s="46">
        <v>223377392</v>
      </c>
      <c r="X39" s="46" t="s">
        <v>144</v>
      </c>
      <c r="Y39" s="46" t="s">
        <v>64</v>
      </c>
      <c r="Z39" s="46" t="s">
        <v>142</v>
      </c>
      <c r="AA39" s="12" t="s">
        <v>143</v>
      </c>
      <c r="AB39" s="46">
        <v>0</v>
      </c>
      <c r="AD39" s="46" t="s">
        <v>67</v>
      </c>
      <c r="AE39" s="46">
        <v>21</v>
      </c>
    </row>
    <row r="40" spans="1:31" x14ac:dyDescent="0.25">
      <c r="A40" s="46" t="s">
        <v>57</v>
      </c>
      <c r="B40" s="46" t="s">
        <v>58</v>
      </c>
      <c r="C40" s="12" t="s">
        <v>140</v>
      </c>
      <c r="D40" s="46">
        <v>28928196</v>
      </c>
      <c r="E40" s="47">
        <v>45156</v>
      </c>
      <c r="F40" s="47">
        <v>45156</v>
      </c>
      <c r="G40" s="46">
        <v>1</v>
      </c>
      <c r="H40" s="47">
        <v>45247</v>
      </c>
      <c r="I40" s="47">
        <v>45259</v>
      </c>
      <c r="J40" s="46">
        <v>12</v>
      </c>
      <c r="K40" s="47">
        <v>45139</v>
      </c>
      <c r="L40" s="47">
        <v>45291</v>
      </c>
      <c r="M40" s="46">
        <v>99232</v>
      </c>
      <c r="N40" s="12" t="s">
        <v>71</v>
      </c>
      <c r="O40" s="46" t="s">
        <v>61</v>
      </c>
      <c r="P40" s="46" t="s">
        <v>62</v>
      </c>
      <c r="Q40" s="46">
        <v>150</v>
      </c>
      <c r="R40" s="46">
        <v>0</v>
      </c>
      <c r="S40" s="46">
        <v>104.52</v>
      </c>
      <c r="T40" s="46">
        <v>45.48</v>
      </c>
      <c r="U40" s="48">
        <v>0.69679999999999997</v>
      </c>
      <c r="V40" s="46" t="s">
        <v>44</v>
      </c>
      <c r="W40" s="46">
        <v>223377392</v>
      </c>
      <c r="X40" s="46" t="s">
        <v>144</v>
      </c>
      <c r="Y40" s="46" t="s">
        <v>64</v>
      </c>
      <c r="Z40" s="46" t="s">
        <v>142</v>
      </c>
      <c r="AA40" s="12" t="s">
        <v>143</v>
      </c>
      <c r="AB40" s="46">
        <v>0</v>
      </c>
      <c r="AD40" s="46" t="s">
        <v>67</v>
      </c>
      <c r="AE40" s="46">
        <v>21</v>
      </c>
    </row>
    <row r="41" spans="1:31" x14ac:dyDescent="0.25">
      <c r="A41" s="46" t="s">
        <v>57</v>
      </c>
      <c r="B41" s="46" t="s">
        <v>58</v>
      </c>
      <c r="C41" s="12" t="s">
        <v>140</v>
      </c>
      <c r="D41" s="46">
        <v>28928196</v>
      </c>
      <c r="E41" s="47">
        <v>45166</v>
      </c>
      <c r="F41" s="47">
        <v>45166</v>
      </c>
      <c r="G41" s="46">
        <v>1</v>
      </c>
      <c r="H41" s="47">
        <v>45247</v>
      </c>
      <c r="I41" s="47">
        <v>45266</v>
      </c>
      <c r="J41" s="46">
        <v>19</v>
      </c>
      <c r="K41" s="47">
        <v>45139</v>
      </c>
      <c r="L41" s="47">
        <v>45291</v>
      </c>
      <c r="M41" s="46">
        <v>99232</v>
      </c>
      <c r="N41" s="12" t="s">
        <v>71</v>
      </c>
      <c r="O41" s="46" t="s">
        <v>61</v>
      </c>
      <c r="P41" s="46" t="s">
        <v>62</v>
      </c>
      <c r="Q41" s="46">
        <v>150</v>
      </c>
      <c r="R41" s="46">
        <v>0</v>
      </c>
      <c r="S41" s="46">
        <v>104.52</v>
      </c>
      <c r="T41" s="46">
        <v>45.48</v>
      </c>
      <c r="U41" s="48">
        <v>0.69679999999999997</v>
      </c>
      <c r="V41" s="46" t="s">
        <v>44</v>
      </c>
      <c r="W41" s="46">
        <v>223377394</v>
      </c>
      <c r="X41" s="46" t="s">
        <v>145</v>
      </c>
      <c r="Y41" s="46" t="s">
        <v>64</v>
      </c>
      <c r="Z41" s="46" t="s">
        <v>142</v>
      </c>
      <c r="AA41" s="12" t="s">
        <v>143</v>
      </c>
      <c r="AB41" s="46">
        <v>0</v>
      </c>
      <c r="AD41" s="46" t="s">
        <v>67</v>
      </c>
      <c r="AE41" s="46">
        <v>21</v>
      </c>
    </row>
    <row r="42" spans="1:31" x14ac:dyDescent="0.25">
      <c r="A42" s="46" t="s">
        <v>57</v>
      </c>
      <c r="B42" s="46" t="s">
        <v>58</v>
      </c>
      <c r="C42" s="12" t="s">
        <v>140</v>
      </c>
      <c r="D42" s="46">
        <v>28928196</v>
      </c>
      <c r="E42" s="47">
        <v>45167</v>
      </c>
      <c r="F42" s="47">
        <v>45167</v>
      </c>
      <c r="G42" s="46">
        <v>1</v>
      </c>
      <c r="H42" s="47">
        <v>45247</v>
      </c>
      <c r="I42" s="47">
        <v>45266</v>
      </c>
      <c r="J42" s="46">
        <v>19</v>
      </c>
      <c r="K42" s="47">
        <v>45139</v>
      </c>
      <c r="L42" s="47">
        <v>45291</v>
      </c>
      <c r="M42" s="46">
        <v>99232</v>
      </c>
      <c r="N42" s="12" t="s">
        <v>71</v>
      </c>
      <c r="O42" s="46" t="s">
        <v>61</v>
      </c>
      <c r="P42" s="46" t="s">
        <v>62</v>
      </c>
      <c r="Q42" s="46">
        <v>150</v>
      </c>
      <c r="R42" s="46">
        <v>0</v>
      </c>
      <c r="S42" s="46">
        <v>104.52</v>
      </c>
      <c r="T42" s="46">
        <v>45.48</v>
      </c>
      <c r="U42" s="48">
        <v>0.69679999999999997</v>
      </c>
      <c r="V42" s="46" t="s">
        <v>44</v>
      </c>
      <c r="W42" s="46">
        <v>223377394</v>
      </c>
      <c r="X42" s="46" t="s">
        <v>145</v>
      </c>
      <c r="Y42" s="46" t="s">
        <v>64</v>
      </c>
      <c r="Z42" s="46" t="s">
        <v>142</v>
      </c>
      <c r="AA42" s="12" t="s">
        <v>143</v>
      </c>
      <c r="AB42" s="46">
        <v>0</v>
      </c>
      <c r="AD42" s="46" t="s">
        <v>67</v>
      </c>
      <c r="AE42" s="46">
        <v>21</v>
      </c>
    </row>
    <row r="43" spans="1:31" x14ac:dyDescent="0.25">
      <c r="A43" s="46" t="s">
        <v>57</v>
      </c>
      <c r="B43" s="46" t="s">
        <v>58</v>
      </c>
      <c r="C43" s="12" t="s">
        <v>140</v>
      </c>
      <c r="D43" s="46">
        <v>28928196</v>
      </c>
      <c r="E43" s="47">
        <v>45168</v>
      </c>
      <c r="F43" s="47">
        <v>45168</v>
      </c>
      <c r="G43" s="46">
        <v>1</v>
      </c>
      <c r="H43" s="47">
        <v>45247</v>
      </c>
      <c r="I43" s="47">
        <v>45266</v>
      </c>
      <c r="J43" s="46">
        <v>19</v>
      </c>
      <c r="K43" s="47">
        <v>45139</v>
      </c>
      <c r="L43" s="47">
        <v>45291</v>
      </c>
      <c r="M43" s="46">
        <v>99232</v>
      </c>
      <c r="N43" s="12" t="s">
        <v>71</v>
      </c>
      <c r="O43" s="46" t="s">
        <v>61</v>
      </c>
      <c r="P43" s="46" t="s">
        <v>62</v>
      </c>
      <c r="Q43" s="46">
        <v>150</v>
      </c>
      <c r="R43" s="46">
        <v>0</v>
      </c>
      <c r="S43" s="46">
        <v>104.52</v>
      </c>
      <c r="T43" s="46">
        <v>45.48</v>
      </c>
      <c r="U43" s="48">
        <v>0.69679999999999997</v>
      </c>
      <c r="V43" s="46" t="s">
        <v>44</v>
      </c>
      <c r="W43" s="46">
        <v>223377394</v>
      </c>
      <c r="X43" s="46" t="s">
        <v>145</v>
      </c>
      <c r="Y43" s="46" t="s">
        <v>64</v>
      </c>
      <c r="Z43" s="46" t="s">
        <v>142</v>
      </c>
      <c r="AA43" s="12" t="s">
        <v>143</v>
      </c>
      <c r="AB43" s="46">
        <v>0</v>
      </c>
      <c r="AD43" s="46" t="s">
        <v>67</v>
      </c>
      <c r="AE43" s="46">
        <v>21</v>
      </c>
    </row>
    <row r="44" spans="1:31" x14ac:dyDescent="0.25">
      <c r="A44" s="46" t="s">
        <v>57</v>
      </c>
      <c r="B44" s="46" t="s">
        <v>58</v>
      </c>
      <c r="C44" s="12" t="s">
        <v>140</v>
      </c>
      <c r="D44" s="46">
        <v>28928196</v>
      </c>
      <c r="E44" s="47">
        <v>45169</v>
      </c>
      <c r="F44" s="47">
        <v>45169</v>
      </c>
      <c r="G44" s="46">
        <v>1</v>
      </c>
      <c r="H44" s="47">
        <v>45247</v>
      </c>
      <c r="I44" s="47">
        <v>45266</v>
      </c>
      <c r="J44" s="46">
        <v>19</v>
      </c>
      <c r="K44" s="47">
        <v>45139</v>
      </c>
      <c r="L44" s="47">
        <v>45291</v>
      </c>
      <c r="M44" s="46">
        <v>99231</v>
      </c>
      <c r="N44" s="12" t="s">
        <v>71</v>
      </c>
      <c r="O44" s="46" t="s">
        <v>61</v>
      </c>
      <c r="P44" s="46" t="s">
        <v>62</v>
      </c>
      <c r="Q44" s="46">
        <v>100</v>
      </c>
      <c r="R44" s="46">
        <v>0</v>
      </c>
      <c r="S44" s="46">
        <v>68.319999999999993</v>
      </c>
      <c r="T44" s="46">
        <v>31.68</v>
      </c>
      <c r="U44" s="48">
        <v>0.68320000000000003</v>
      </c>
      <c r="V44" s="46" t="s">
        <v>44</v>
      </c>
      <c r="W44" s="46">
        <v>223377394</v>
      </c>
      <c r="X44" s="46" t="s">
        <v>145</v>
      </c>
      <c r="Y44" s="46" t="s">
        <v>64</v>
      </c>
      <c r="Z44" s="46" t="s">
        <v>142</v>
      </c>
      <c r="AA44" s="12" t="s">
        <v>143</v>
      </c>
      <c r="AB44" s="46">
        <v>0</v>
      </c>
      <c r="AD44" s="46" t="s">
        <v>67</v>
      </c>
      <c r="AE44" s="46">
        <v>21</v>
      </c>
    </row>
    <row r="45" spans="1:31" x14ac:dyDescent="0.25">
      <c r="A45" s="46" t="s">
        <v>57</v>
      </c>
      <c r="B45" s="46" t="s">
        <v>58</v>
      </c>
      <c r="C45" s="12" t="s">
        <v>140</v>
      </c>
      <c r="D45" s="46">
        <v>28928196</v>
      </c>
      <c r="E45" s="47">
        <v>45170</v>
      </c>
      <c r="F45" s="47">
        <v>45170</v>
      </c>
      <c r="G45" s="46">
        <v>1</v>
      </c>
      <c r="H45" s="47">
        <v>45247</v>
      </c>
      <c r="I45" s="47">
        <v>45266</v>
      </c>
      <c r="J45" s="46">
        <v>19</v>
      </c>
      <c r="K45" s="47">
        <v>45139</v>
      </c>
      <c r="L45" s="47">
        <v>45291</v>
      </c>
      <c r="M45" s="46">
        <v>99232</v>
      </c>
      <c r="N45" s="12" t="s">
        <v>71</v>
      </c>
      <c r="O45" s="46" t="s">
        <v>61</v>
      </c>
      <c r="P45" s="46" t="s">
        <v>62</v>
      </c>
      <c r="Q45" s="46">
        <v>150</v>
      </c>
      <c r="R45" s="46">
        <v>0</v>
      </c>
      <c r="S45" s="46">
        <v>104.52</v>
      </c>
      <c r="T45" s="46">
        <v>45.48</v>
      </c>
      <c r="U45" s="48">
        <v>0.69679999999999997</v>
      </c>
      <c r="V45" s="46" t="s">
        <v>44</v>
      </c>
      <c r="W45" s="46">
        <v>223377395</v>
      </c>
      <c r="X45" s="46" t="s">
        <v>146</v>
      </c>
      <c r="Y45" s="46" t="s">
        <v>64</v>
      </c>
      <c r="Z45" s="46" t="s">
        <v>142</v>
      </c>
      <c r="AA45" s="12" t="s">
        <v>143</v>
      </c>
      <c r="AB45" s="46">
        <v>0</v>
      </c>
      <c r="AD45" s="46" t="s">
        <v>67</v>
      </c>
      <c r="AE45" s="46">
        <v>21</v>
      </c>
    </row>
    <row r="46" spans="1:31" x14ac:dyDescent="0.25">
      <c r="A46" s="46" t="s">
        <v>57</v>
      </c>
      <c r="B46" s="46" t="s">
        <v>58</v>
      </c>
      <c r="C46" s="12" t="s">
        <v>140</v>
      </c>
      <c r="D46" s="46">
        <v>28928196</v>
      </c>
      <c r="E46" s="47">
        <v>45174</v>
      </c>
      <c r="F46" s="47">
        <v>45174</v>
      </c>
      <c r="G46" s="46">
        <v>1</v>
      </c>
      <c r="H46" s="47">
        <v>45247</v>
      </c>
      <c r="I46" s="47">
        <v>45266</v>
      </c>
      <c r="J46" s="46">
        <v>19</v>
      </c>
      <c r="K46" s="47">
        <v>45139</v>
      </c>
      <c r="L46" s="47">
        <v>45291</v>
      </c>
      <c r="M46" s="46">
        <v>99232</v>
      </c>
      <c r="N46" s="12" t="s">
        <v>71</v>
      </c>
      <c r="O46" s="46" t="s">
        <v>61</v>
      </c>
      <c r="P46" s="46" t="s">
        <v>62</v>
      </c>
      <c r="Q46" s="46">
        <v>150</v>
      </c>
      <c r="R46" s="46">
        <v>0</v>
      </c>
      <c r="S46" s="46">
        <v>104.52</v>
      </c>
      <c r="T46" s="46">
        <v>45.48</v>
      </c>
      <c r="U46" s="48">
        <v>0.69679999999999997</v>
      </c>
      <c r="V46" s="46" t="s">
        <v>44</v>
      </c>
      <c r="W46" s="46">
        <v>223377395</v>
      </c>
      <c r="X46" s="46" t="s">
        <v>146</v>
      </c>
      <c r="Y46" s="46" t="s">
        <v>64</v>
      </c>
      <c r="Z46" s="46" t="s">
        <v>142</v>
      </c>
      <c r="AA46" s="12" t="s">
        <v>143</v>
      </c>
      <c r="AB46" s="46">
        <v>0</v>
      </c>
      <c r="AD46" s="46" t="s">
        <v>67</v>
      </c>
      <c r="AE46" s="46">
        <v>21</v>
      </c>
    </row>
    <row r="47" spans="1:31" x14ac:dyDescent="0.25">
      <c r="A47" s="46" t="s">
        <v>57</v>
      </c>
      <c r="B47" s="46" t="s">
        <v>58</v>
      </c>
      <c r="C47" s="12" t="s">
        <v>147</v>
      </c>
      <c r="D47" s="46">
        <v>29450662</v>
      </c>
      <c r="E47" s="47">
        <v>45191</v>
      </c>
      <c r="F47" s="47">
        <v>45191</v>
      </c>
      <c r="G47" s="46">
        <v>1</v>
      </c>
      <c r="H47" s="47">
        <v>45203</v>
      </c>
      <c r="I47" s="47">
        <v>45224</v>
      </c>
      <c r="J47" s="46">
        <v>21</v>
      </c>
      <c r="K47" s="47">
        <v>45139</v>
      </c>
      <c r="L47" s="47">
        <v>45291</v>
      </c>
      <c r="M47" s="46">
        <v>99233</v>
      </c>
      <c r="N47" s="12" t="s">
        <v>71</v>
      </c>
      <c r="O47" s="46" t="s">
        <v>148</v>
      </c>
      <c r="P47" s="46" t="s">
        <v>149</v>
      </c>
      <c r="Q47" s="46">
        <v>240</v>
      </c>
      <c r="R47" s="46">
        <v>0</v>
      </c>
      <c r="S47" s="46">
        <v>178.83</v>
      </c>
      <c r="T47" s="46">
        <v>61.17</v>
      </c>
      <c r="U47" s="48">
        <v>0.74509999999999998</v>
      </c>
      <c r="V47" s="46" t="s">
        <v>44</v>
      </c>
      <c r="W47" s="46">
        <v>223306958</v>
      </c>
      <c r="X47" s="46">
        <v>93023787412230</v>
      </c>
      <c r="Y47" s="46" t="s">
        <v>64</v>
      </c>
      <c r="Z47" s="46" t="s">
        <v>150</v>
      </c>
      <c r="AA47" s="12" t="s">
        <v>151</v>
      </c>
      <c r="AB47" s="46">
        <v>0</v>
      </c>
      <c r="AD47" s="46" t="s">
        <v>67</v>
      </c>
      <c r="AE47" s="46">
        <v>21</v>
      </c>
    </row>
    <row r="48" spans="1:31" x14ac:dyDescent="0.25">
      <c r="A48" s="46" t="s">
        <v>57</v>
      </c>
      <c r="B48" s="46" t="s">
        <v>58</v>
      </c>
      <c r="C48" s="12" t="s">
        <v>147</v>
      </c>
      <c r="D48" s="46">
        <v>29450662</v>
      </c>
      <c r="E48" s="47">
        <v>45192</v>
      </c>
      <c r="F48" s="47">
        <v>45192</v>
      </c>
      <c r="G48" s="46">
        <v>1</v>
      </c>
      <c r="H48" s="47">
        <v>45203</v>
      </c>
      <c r="I48" s="47">
        <v>45224</v>
      </c>
      <c r="J48" s="46">
        <v>21</v>
      </c>
      <c r="K48" s="47">
        <v>45139</v>
      </c>
      <c r="L48" s="47">
        <v>45291</v>
      </c>
      <c r="M48" s="46">
        <v>99233</v>
      </c>
      <c r="N48" s="12" t="s">
        <v>71</v>
      </c>
      <c r="O48" s="46" t="s">
        <v>148</v>
      </c>
      <c r="P48" s="46" t="s">
        <v>149</v>
      </c>
      <c r="Q48" s="46">
        <v>240</v>
      </c>
      <c r="R48" s="46">
        <v>0</v>
      </c>
      <c r="S48" s="46">
        <v>178.83</v>
      </c>
      <c r="T48" s="46">
        <v>61.17</v>
      </c>
      <c r="U48" s="48">
        <v>0.74509999999999998</v>
      </c>
      <c r="V48" s="46" t="s">
        <v>44</v>
      </c>
      <c r="W48" s="46">
        <v>223306958</v>
      </c>
      <c r="X48" s="46">
        <v>93023787412230</v>
      </c>
      <c r="Y48" s="46" t="s">
        <v>64</v>
      </c>
      <c r="Z48" s="46" t="s">
        <v>150</v>
      </c>
      <c r="AA48" s="12" t="s">
        <v>151</v>
      </c>
      <c r="AB48" s="46">
        <v>0</v>
      </c>
      <c r="AD48" s="46" t="s">
        <v>67</v>
      </c>
      <c r="AE48" s="46">
        <v>21</v>
      </c>
    </row>
    <row r="49" spans="1:31" x14ac:dyDescent="0.25">
      <c r="A49" s="46" t="s">
        <v>57</v>
      </c>
      <c r="B49" s="46" t="s">
        <v>58</v>
      </c>
      <c r="C49" s="12" t="s">
        <v>147</v>
      </c>
      <c r="D49" s="46">
        <v>29450662</v>
      </c>
      <c r="E49" s="47">
        <v>45193</v>
      </c>
      <c r="F49" s="47">
        <v>45193</v>
      </c>
      <c r="G49" s="46">
        <v>1</v>
      </c>
      <c r="H49" s="47">
        <v>45203</v>
      </c>
      <c r="I49" s="47">
        <v>45224</v>
      </c>
      <c r="J49" s="46">
        <v>21</v>
      </c>
      <c r="K49" s="47">
        <v>45139</v>
      </c>
      <c r="L49" s="47">
        <v>45291</v>
      </c>
      <c r="M49" s="46">
        <v>99239</v>
      </c>
      <c r="N49" s="12" t="s">
        <v>73</v>
      </c>
      <c r="O49" s="46" t="s">
        <v>148</v>
      </c>
      <c r="P49" s="46" t="s">
        <v>149</v>
      </c>
      <c r="Q49" s="46">
        <v>230</v>
      </c>
      <c r="R49" s="46">
        <v>0</v>
      </c>
      <c r="S49" s="46">
        <v>157.85</v>
      </c>
      <c r="T49" s="46">
        <v>72.150000000000006</v>
      </c>
      <c r="U49" s="48">
        <v>0.68630000000000002</v>
      </c>
      <c r="V49" s="46" t="s">
        <v>44</v>
      </c>
      <c r="W49" s="46">
        <v>223306958</v>
      </c>
      <c r="X49" s="46">
        <v>93023787412230</v>
      </c>
      <c r="Y49" s="46" t="s">
        <v>64</v>
      </c>
      <c r="Z49" s="46" t="s">
        <v>150</v>
      </c>
      <c r="AA49" s="12" t="s">
        <v>151</v>
      </c>
      <c r="AB49" s="46">
        <v>0</v>
      </c>
      <c r="AD49" s="46" t="s">
        <v>67</v>
      </c>
      <c r="AE49" s="46">
        <v>21</v>
      </c>
    </row>
    <row r="50" spans="1:31" x14ac:dyDescent="0.25">
      <c r="A50" s="46" t="s">
        <v>57</v>
      </c>
      <c r="B50" s="46" t="s">
        <v>58</v>
      </c>
      <c r="C50" s="12" t="s">
        <v>147</v>
      </c>
      <c r="D50" s="46">
        <v>29450662</v>
      </c>
      <c r="E50" s="47">
        <v>45190</v>
      </c>
      <c r="F50" s="47">
        <v>45190</v>
      </c>
      <c r="G50" s="46">
        <v>1</v>
      </c>
      <c r="H50" s="47">
        <v>45203</v>
      </c>
      <c r="I50" s="47">
        <v>45224</v>
      </c>
      <c r="J50" s="46">
        <v>21</v>
      </c>
      <c r="K50" s="47">
        <v>45139</v>
      </c>
      <c r="L50" s="47">
        <v>45291</v>
      </c>
      <c r="M50" s="46">
        <v>99233</v>
      </c>
      <c r="N50" s="12" t="s">
        <v>71</v>
      </c>
      <c r="O50" s="46" t="s">
        <v>148</v>
      </c>
      <c r="P50" s="46" t="s">
        <v>149</v>
      </c>
      <c r="Q50" s="46">
        <v>240</v>
      </c>
      <c r="R50" s="46">
        <v>0</v>
      </c>
      <c r="S50" s="46">
        <v>178.83</v>
      </c>
      <c r="T50" s="46">
        <v>61.17</v>
      </c>
      <c r="U50" s="48">
        <v>0.74509999999999998</v>
      </c>
      <c r="V50" s="46" t="s">
        <v>44</v>
      </c>
      <c r="W50" s="46">
        <v>223306984</v>
      </c>
      <c r="X50" s="46">
        <v>93023787412229</v>
      </c>
      <c r="Y50" s="46" t="s">
        <v>64</v>
      </c>
      <c r="Z50" s="46" t="s">
        <v>152</v>
      </c>
      <c r="AA50" s="12" t="s">
        <v>153</v>
      </c>
      <c r="AB50" s="46">
        <v>0</v>
      </c>
      <c r="AD50" s="46" t="s">
        <v>67</v>
      </c>
      <c r="AE50" s="46">
        <v>21</v>
      </c>
    </row>
    <row r="51" spans="1:31" x14ac:dyDescent="0.25">
      <c r="A51" s="46" t="s">
        <v>57</v>
      </c>
      <c r="B51" s="46" t="s">
        <v>58</v>
      </c>
      <c r="C51" s="12" t="s">
        <v>154</v>
      </c>
      <c r="D51" s="46">
        <v>30044643</v>
      </c>
      <c r="E51" s="47">
        <v>45239</v>
      </c>
      <c r="F51" s="47">
        <v>45239</v>
      </c>
      <c r="G51" s="46">
        <v>1</v>
      </c>
      <c r="H51" s="47">
        <v>45259</v>
      </c>
      <c r="I51" s="47">
        <v>45266</v>
      </c>
      <c r="J51" s="46">
        <v>7</v>
      </c>
      <c r="K51" s="47">
        <v>45139</v>
      </c>
      <c r="L51" s="47">
        <v>45291</v>
      </c>
      <c r="M51" s="46">
        <v>99283</v>
      </c>
      <c r="N51" s="12" t="s">
        <v>155</v>
      </c>
      <c r="O51" s="46" t="s">
        <v>61</v>
      </c>
      <c r="P51" s="46" t="s">
        <v>121</v>
      </c>
      <c r="Q51" s="49">
        <v>6102</v>
      </c>
      <c r="R51" s="46">
        <v>0</v>
      </c>
      <c r="S51" s="49">
        <v>5308.74</v>
      </c>
      <c r="T51" s="46">
        <v>793.26</v>
      </c>
      <c r="U51" s="48">
        <v>0.87</v>
      </c>
      <c r="V51" s="46" t="s">
        <v>44</v>
      </c>
      <c r="W51" s="46">
        <v>223393171</v>
      </c>
      <c r="X51" s="46" t="s">
        <v>156</v>
      </c>
      <c r="Y51" s="46" t="s">
        <v>64</v>
      </c>
      <c r="Z51" s="46" t="s">
        <v>80</v>
      </c>
      <c r="AA51" s="12" t="s">
        <v>81</v>
      </c>
      <c r="AB51" s="46">
        <v>131</v>
      </c>
      <c r="AD51" s="46" t="s">
        <v>157</v>
      </c>
      <c r="AE51" s="46">
        <v>0</v>
      </c>
    </row>
    <row r="52" spans="1:31" x14ac:dyDescent="0.25">
      <c r="A52" s="46" t="s">
        <v>57</v>
      </c>
      <c r="B52" s="46" t="s">
        <v>58</v>
      </c>
      <c r="C52" s="12" t="s">
        <v>154</v>
      </c>
      <c r="D52" s="46">
        <v>30055934</v>
      </c>
      <c r="E52" s="47">
        <v>45175</v>
      </c>
      <c r="F52" s="47">
        <v>45176</v>
      </c>
      <c r="G52" s="46">
        <v>1</v>
      </c>
      <c r="H52" s="47">
        <v>45196</v>
      </c>
      <c r="I52" s="47">
        <v>45252</v>
      </c>
      <c r="J52" s="46">
        <v>56</v>
      </c>
      <c r="K52" s="47">
        <v>45139</v>
      </c>
      <c r="L52" s="47">
        <v>45291</v>
      </c>
      <c r="M52" s="46">
        <v>93005</v>
      </c>
      <c r="N52" s="12" t="s">
        <v>158</v>
      </c>
      <c r="O52" s="46" t="s">
        <v>61</v>
      </c>
      <c r="P52" s="46" t="s">
        <v>62</v>
      </c>
      <c r="Q52" s="49">
        <v>23549.5</v>
      </c>
      <c r="R52" s="46">
        <v>0</v>
      </c>
      <c r="S52" s="49">
        <v>20252.57</v>
      </c>
      <c r="T52" s="49">
        <v>3296.93</v>
      </c>
      <c r="U52" s="48">
        <v>0.86</v>
      </c>
      <c r="V52" s="46" t="s">
        <v>44</v>
      </c>
      <c r="W52" s="46">
        <v>223299558</v>
      </c>
      <c r="X52" s="46" t="s">
        <v>159</v>
      </c>
      <c r="Y52" s="46" t="s">
        <v>64</v>
      </c>
      <c r="Z52" s="46" t="s">
        <v>160</v>
      </c>
      <c r="AA52" s="12" t="s">
        <v>161</v>
      </c>
      <c r="AB52" s="46">
        <v>131</v>
      </c>
      <c r="AD52" s="46" t="s">
        <v>157</v>
      </c>
      <c r="AE52" s="46">
        <v>0</v>
      </c>
    </row>
    <row r="53" spans="1:31" x14ac:dyDescent="0.25">
      <c r="A53" s="46" t="s">
        <v>57</v>
      </c>
      <c r="B53" s="46" t="s">
        <v>58</v>
      </c>
      <c r="C53" s="12" t="s">
        <v>154</v>
      </c>
      <c r="D53" s="46">
        <v>29121738</v>
      </c>
      <c r="E53" s="47">
        <v>45159</v>
      </c>
      <c r="F53" s="47">
        <v>45159</v>
      </c>
      <c r="G53" s="46">
        <v>1</v>
      </c>
      <c r="H53" s="47">
        <v>45182</v>
      </c>
      <c r="I53" s="47">
        <v>45203</v>
      </c>
      <c r="J53" s="46">
        <v>21</v>
      </c>
      <c r="K53" s="47">
        <v>45139</v>
      </c>
      <c r="L53" s="47">
        <v>45291</v>
      </c>
      <c r="M53" s="46">
        <v>99284</v>
      </c>
      <c r="N53" s="12" t="s">
        <v>155</v>
      </c>
      <c r="O53" s="46" t="s">
        <v>61</v>
      </c>
      <c r="P53" s="46" t="s">
        <v>62</v>
      </c>
      <c r="Q53" s="49">
        <v>9415</v>
      </c>
      <c r="R53" s="46">
        <v>0</v>
      </c>
      <c r="S53" s="49">
        <v>8096.9</v>
      </c>
      <c r="T53" s="49">
        <v>1318.1</v>
      </c>
      <c r="U53" s="48">
        <v>0.86</v>
      </c>
      <c r="V53" s="46" t="s">
        <v>44</v>
      </c>
      <c r="W53" s="46">
        <v>223282851</v>
      </c>
      <c r="X53" s="46" t="s">
        <v>162</v>
      </c>
      <c r="Y53" s="46" t="s">
        <v>64</v>
      </c>
      <c r="Z53" s="46" t="s">
        <v>163</v>
      </c>
      <c r="AA53" s="12" t="s">
        <v>164</v>
      </c>
      <c r="AB53" s="46">
        <v>131</v>
      </c>
      <c r="AD53" s="46" t="s">
        <v>157</v>
      </c>
      <c r="AE53" s="46">
        <v>0</v>
      </c>
    </row>
    <row r="54" spans="1:31" x14ac:dyDescent="0.25">
      <c r="A54" s="46" t="s">
        <v>57</v>
      </c>
      <c r="B54" s="46" t="s">
        <v>58</v>
      </c>
      <c r="C54" s="12" t="s">
        <v>165</v>
      </c>
      <c r="D54" s="46">
        <v>30044643</v>
      </c>
      <c r="E54" s="47">
        <v>45239</v>
      </c>
      <c r="F54" s="47">
        <v>45239</v>
      </c>
      <c r="G54" s="46">
        <v>1</v>
      </c>
      <c r="H54" s="47">
        <v>45265</v>
      </c>
      <c r="I54" s="47">
        <v>45273</v>
      </c>
      <c r="J54" s="46">
        <v>8</v>
      </c>
      <c r="K54" s="47">
        <v>45139</v>
      </c>
      <c r="L54" s="47">
        <v>45291</v>
      </c>
      <c r="M54" s="46">
        <v>80053</v>
      </c>
      <c r="N54" s="12" t="s">
        <v>166</v>
      </c>
      <c r="O54" s="46" t="s">
        <v>61</v>
      </c>
      <c r="P54" s="46" t="s">
        <v>121</v>
      </c>
      <c r="Q54" s="46">
        <v>121.45</v>
      </c>
      <c r="R54" s="46">
        <v>0</v>
      </c>
      <c r="S54" s="46">
        <v>121.45</v>
      </c>
      <c r="T54" s="46">
        <v>0</v>
      </c>
      <c r="U54" s="48">
        <v>1</v>
      </c>
      <c r="V54" s="46" t="s">
        <v>44</v>
      </c>
      <c r="W54" s="46">
        <v>223402072</v>
      </c>
      <c r="X54" s="46" t="s">
        <v>167</v>
      </c>
      <c r="Y54" s="46" t="s">
        <v>64</v>
      </c>
      <c r="Z54" s="46" t="s">
        <v>168</v>
      </c>
      <c r="AA54" s="12" t="s">
        <v>169</v>
      </c>
      <c r="AB54" s="46">
        <v>0</v>
      </c>
      <c r="AD54" s="46" t="s">
        <v>67</v>
      </c>
      <c r="AE54" s="46">
        <v>23</v>
      </c>
    </row>
    <row r="55" spans="1:31" x14ac:dyDescent="0.25">
      <c r="A55" s="46" t="s">
        <v>57</v>
      </c>
      <c r="B55" s="46" t="s">
        <v>58</v>
      </c>
      <c r="C55" s="12" t="s">
        <v>165</v>
      </c>
      <c r="D55" s="46">
        <v>30044643</v>
      </c>
      <c r="E55" s="47">
        <v>45239</v>
      </c>
      <c r="F55" s="47">
        <v>45239</v>
      </c>
      <c r="G55" s="46">
        <v>1</v>
      </c>
      <c r="H55" s="47">
        <v>45265</v>
      </c>
      <c r="I55" s="47">
        <v>45273</v>
      </c>
      <c r="J55" s="46">
        <v>8</v>
      </c>
      <c r="K55" s="47">
        <v>45139</v>
      </c>
      <c r="L55" s="47">
        <v>45291</v>
      </c>
      <c r="M55" s="46">
        <v>83605</v>
      </c>
      <c r="N55" s="12" t="s">
        <v>170</v>
      </c>
      <c r="O55" s="46" t="s">
        <v>61</v>
      </c>
      <c r="P55" s="46" t="s">
        <v>121</v>
      </c>
      <c r="Q55" s="46">
        <v>13</v>
      </c>
      <c r="R55" s="46">
        <v>0</v>
      </c>
      <c r="S55" s="46">
        <v>13</v>
      </c>
      <c r="T55" s="46">
        <v>0</v>
      </c>
      <c r="U55" s="48">
        <v>1</v>
      </c>
      <c r="V55" s="46" t="s">
        <v>44</v>
      </c>
      <c r="W55" s="46">
        <v>223402072</v>
      </c>
      <c r="X55" s="46" t="s">
        <v>167</v>
      </c>
      <c r="Y55" s="46" t="s">
        <v>64</v>
      </c>
      <c r="Z55" s="46" t="s">
        <v>168</v>
      </c>
      <c r="AA55" s="12" t="s">
        <v>169</v>
      </c>
      <c r="AB55" s="46">
        <v>0</v>
      </c>
      <c r="AD55" s="46" t="s">
        <v>67</v>
      </c>
      <c r="AE55" s="46">
        <v>23</v>
      </c>
    </row>
    <row r="56" spans="1:31" x14ac:dyDescent="0.25">
      <c r="A56" s="46" t="s">
        <v>57</v>
      </c>
      <c r="B56" s="46" t="s">
        <v>58</v>
      </c>
      <c r="C56" s="12" t="s">
        <v>165</v>
      </c>
      <c r="D56" s="46">
        <v>30044643</v>
      </c>
      <c r="E56" s="47">
        <v>45239</v>
      </c>
      <c r="F56" s="47">
        <v>45239</v>
      </c>
      <c r="G56" s="46">
        <v>1</v>
      </c>
      <c r="H56" s="47">
        <v>45265</v>
      </c>
      <c r="I56" s="47">
        <v>45273</v>
      </c>
      <c r="J56" s="46">
        <v>8</v>
      </c>
      <c r="K56" s="47">
        <v>45139</v>
      </c>
      <c r="L56" s="47">
        <v>45291</v>
      </c>
      <c r="M56" s="46">
        <v>85025</v>
      </c>
      <c r="N56" s="12" t="s">
        <v>171</v>
      </c>
      <c r="O56" s="46" t="s">
        <v>61</v>
      </c>
      <c r="P56" s="46" t="s">
        <v>121</v>
      </c>
      <c r="Q56" s="46">
        <v>20.55</v>
      </c>
      <c r="R56" s="46">
        <v>0</v>
      </c>
      <c r="S56" s="46">
        <v>20.55</v>
      </c>
      <c r="T56" s="46">
        <v>0</v>
      </c>
      <c r="U56" s="48">
        <v>1</v>
      </c>
      <c r="V56" s="46" t="s">
        <v>44</v>
      </c>
      <c r="W56" s="46">
        <v>223402072</v>
      </c>
      <c r="X56" s="46" t="s">
        <v>167</v>
      </c>
      <c r="Y56" s="46" t="s">
        <v>64</v>
      </c>
      <c r="Z56" s="46" t="s">
        <v>168</v>
      </c>
      <c r="AA56" s="12" t="s">
        <v>169</v>
      </c>
      <c r="AB56" s="46">
        <v>0</v>
      </c>
      <c r="AD56" s="46" t="s">
        <v>67</v>
      </c>
      <c r="AE56" s="46">
        <v>23</v>
      </c>
    </row>
    <row r="57" spans="1:31" x14ac:dyDescent="0.25">
      <c r="A57" s="46" t="s">
        <v>57</v>
      </c>
      <c r="B57" s="46" t="s">
        <v>58</v>
      </c>
      <c r="C57" s="12" t="s">
        <v>165</v>
      </c>
      <c r="D57" s="46">
        <v>30055934</v>
      </c>
      <c r="E57" s="47">
        <v>45175</v>
      </c>
      <c r="F57" s="47">
        <v>45175</v>
      </c>
      <c r="G57" s="46">
        <v>1</v>
      </c>
      <c r="H57" s="47">
        <v>45196</v>
      </c>
      <c r="I57" s="47">
        <v>45252</v>
      </c>
      <c r="J57" s="46">
        <v>56</v>
      </c>
      <c r="K57" s="47">
        <v>45139</v>
      </c>
      <c r="L57" s="47">
        <v>45291</v>
      </c>
      <c r="M57" s="46">
        <v>81001</v>
      </c>
      <c r="N57" s="12" t="s">
        <v>172</v>
      </c>
      <c r="O57" s="46" t="s">
        <v>61</v>
      </c>
      <c r="P57" s="46" t="s">
        <v>62</v>
      </c>
      <c r="Q57" s="46">
        <v>8.1999999999999993</v>
      </c>
      <c r="R57" s="46">
        <v>0</v>
      </c>
      <c r="S57" s="46">
        <v>8.1999999999999993</v>
      </c>
      <c r="T57" s="46">
        <v>0</v>
      </c>
      <c r="U57" s="48">
        <v>1</v>
      </c>
      <c r="V57" s="46" t="s">
        <v>44</v>
      </c>
      <c r="W57" s="46">
        <v>223299685</v>
      </c>
      <c r="X57" s="46" t="s">
        <v>173</v>
      </c>
      <c r="Y57" s="46" t="s">
        <v>64</v>
      </c>
      <c r="Z57" s="46" t="s">
        <v>160</v>
      </c>
      <c r="AA57" s="12" t="s">
        <v>161</v>
      </c>
      <c r="AB57" s="46">
        <v>0</v>
      </c>
      <c r="AD57" s="46" t="s">
        <v>67</v>
      </c>
      <c r="AE57" s="46">
        <v>23</v>
      </c>
    </row>
    <row r="58" spans="1:31" x14ac:dyDescent="0.25">
      <c r="A58" s="46" t="s">
        <v>57</v>
      </c>
      <c r="B58" s="46" t="s">
        <v>58</v>
      </c>
      <c r="C58" s="12" t="s">
        <v>165</v>
      </c>
      <c r="D58" s="46">
        <v>30055934</v>
      </c>
      <c r="E58" s="47">
        <v>45175</v>
      </c>
      <c r="F58" s="47">
        <v>45175</v>
      </c>
      <c r="G58" s="46">
        <v>1</v>
      </c>
      <c r="H58" s="47">
        <v>45196</v>
      </c>
      <c r="I58" s="47">
        <v>45252</v>
      </c>
      <c r="J58" s="46">
        <v>56</v>
      </c>
      <c r="K58" s="47">
        <v>45139</v>
      </c>
      <c r="L58" s="47">
        <v>45291</v>
      </c>
      <c r="M58" s="46">
        <v>80053</v>
      </c>
      <c r="N58" s="12" t="s">
        <v>166</v>
      </c>
      <c r="O58" s="46" t="s">
        <v>61</v>
      </c>
      <c r="P58" s="46" t="s">
        <v>62</v>
      </c>
      <c r="Q58" s="46">
        <v>121.45</v>
      </c>
      <c r="R58" s="46">
        <v>0</v>
      </c>
      <c r="S58" s="46">
        <v>121.45</v>
      </c>
      <c r="T58" s="46">
        <v>0</v>
      </c>
      <c r="U58" s="48">
        <v>1</v>
      </c>
      <c r="V58" s="46" t="s">
        <v>44</v>
      </c>
      <c r="W58" s="46">
        <v>223299686</v>
      </c>
      <c r="X58" s="46" t="s">
        <v>174</v>
      </c>
      <c r="Y58" s="46" t="s">
        <v>64</v>
      </c>
      <c r="Z58" s="46" t="s">
        <v>160</v>
      </c>
      <c r="AA58" s="12" t="s">
        <v>161</v>
      </c>
      <c r="AB58" s="46">
        <v>0</v>
      </c>
      <c r="AD58" s="46" t="s">
        <v>67</v>
      </c>
      <c r="AE58" s="46">
        <v>23</v>
      </c>
    </row>
    <row r="59" spans="1:31" x14ac:dyDescent="0.25">
      <c r="A59" s="46" t="s">
        <v>57</v>
      </c>
      <c r="B59" s="46" t="s">
        <v>58</v>
      </c>
      <c r="C59" s="12" t="s">
        <v>165</v>
      </c>
      <c r="D59" s="46">
        <v>30055934</v>
      </c>
      <c r="E59" s="47">
        <v>45175</v>
      </c>
      <c r="F59" s="47">
        <v>45175</v>
      </c>
      <c r="G59" s="46">
        <v>1</v>
      </c>
      <c r="H59" s="47">
        <v>45196</v>
      </c>
      <c r="I59" s="47">
        <v>45252</v>
      </c>
      <c r="J59" s="46">
        <v>56</v>
      </c>
      <c r="K59" s="47">
        <v>45139</v>
      </c>
      <c r="L59" s="47">
        <v>45291</v>
      </c>
      <c r="M59" s="46">
        <v>83605</v>
      </c>
      <c r="N59" s="12" t="s">
        <v>170</v>
      </c>
      <c r="O59" s="46" t="s">
        <v>61</v>
      </c>
      <c r="P59" s="46" t="s">
        <v>62</v>
      </c>
      <c r="Q59" s="46">
        <v>13</v>
      </c>
      <c r="R59" s="46">
        <v>0</v>
      </c>
      <c r="S59" s="46">
        <v>13</v>
      </c>
      <c r="T59" s="46">
        <v>0</v>
      </c>
      <c r="U59" s="48">
        <v>1</v>
      </c>
      <c r="V59" s="46" t="s">
        <v>44</v>
      </c>
      <c r="W59" s="46">
        <v>223299686</v>
      </c>
      <c r="X59" s="46" t="s">
        <v>174</v>
      </c>
      <c r="Y59" s="46" t="s">
        <v>64</v>
      </c>
      <c r="Z59" s="46" t="s">
        <v>160</v>
      </c>
      <c r="AA59" s="12" t="s">
        <v>161</v>
      </c>
      <c r="AB59" s="46">
        <v>0</v>
      </c>
      <c r="AD59" s="46" t="s">
        <v>67</v>
      </c>
      <c r="AE59" s="46">
        <v>23</v>
      </c>
    </row>
    <row r="60" spans="1:31" x14ac:dyDescent="0.25">
      <c r="A60" s="46" t="s">
        <v>57</v>
      </c>
      <c r="B60" s="46" t="s">
        <v>58</v>
      </c>
      <c r="C60" s="12" t="s">
        <v>165</v>
      </c>
      <c r="D60" s="46">
        <v>30055934</v>
      </c>
      <c r="E60" s="47">
        <v>45175</v>
      </c>
      <c r="F60" s="47">
        <v>45175</v>
      </c>
      <c r="G60" s="46">
        <v>1</v>
      </c>
      <c r="H60" s="47">
        <v>45196</v>
      </c>
      <c r="I60" s="47">
        <v>45252</v>
      </c>
      <c r="J60" s="46">
        <v>56</v>
      </c>
      <c r="K60" s="47">
        <v>45139</v>
      </c>
      <c r="L60" s="47">
        <v>45291</v>
      </c>
      <c r="M60" s="46">
        <v>84703</v>
      </c>
      <c r="N60" s="12" t="s">
        <v>175</v>
      </c>
      <c r="O60" s="46" t="s">
        <v>61</v>
      </c>
      <c r="P60" s="46" t="s">
        <v>62</v>
      </c>
      <c r="Q60" s="46">
        <v>10.4</v>
      </c>
      <c r="R60" s="46">
        <v>0</v>
      </c>
      <c r="S60" s="46">
        <v>10.4</v>
      </c>
      <c r="T60" s="46">
        <v>0</v>
      </c>
      <c r="U60" s="48">
        <v>1</v>
      </c>
      <c r="V60" s="46" t="s">
        <v>44</v>
      </c>
      <c r="W60" s="46">
        <v>223299686</v>
      </c>
      <c r="X60" s="46" t="s">
        <v>174</v>
      </c>
      <c r="Y60" s="46" t="s">
        <v>64</v>
      </c>
      <c r="Z60" s="46" t="s">
        <v>160</v>
      </c>
      <c r="AA60" s="12" t="s">
        <v>161</v>
      </c>
      <c r="AB60" s="46">
        <v>0</v>
      </c>
      <c r="AD60" s="46" t="s">
        <v>67</v>
      </c>
      <c r="AE60" s="46">
        <v>23</v>
      </c>
    </row>
    <row r="61" spans="1:31" x14ac:dyDescent="0.25">
      <c r="A61" s="46" t="s">
        <v>57</v>
      </c>
      <c r="B61" s="46" t="s">
        <v>58</v>
      </c>
      <c r="C61" s="12" t="s">
        <v>165</v>
      </c>
      <c r="D61" s="46">
        <v>30055934</v>
      </c>
      <c r="E61" s="47">
        <v>45175</v>
      </c>
      <c r="F61" s="47">
        <v>45175</v>
      </c>
      <c r="G61" s="46">
        <v>1</v>
      </c>
      <c r="H61" s="47">
        <v>45196</v>
      </c>
      <c r="I61" s="47">
        <v>45252</v>
      </c>
      <c r="J61" s="46">
        <v>56</v>
      </c>
      <c r="K61" s="47">
        <v>45139</v>
      </c>
      <c r="L61" s="47">
        <v>45291</v>
      </c>
      <c r="M61" s="46">
        <v>84484</v>
      </c>
      <c r="N61" s="12" t="s">
        <v>176</v>
      </c>
      <c r="O61" s="46" t="s">
        <v>61</v>
      </c>
      <c r="P61" s="46" t="s">
        <v>62</v>
      </c>
      <c r="Q61" s="46">
        <v>16.3</v>
      </c>
      <c r="R61" s="46">
        <v>0</v>
      </c>
      <c r="S61" s="46">
        <v>16.3</v>
      </c>
      <c r="T61" s="46">
        <v>0</v>
      </c>
      <c r="U61" s="48">
        <v>1</v>
      </c>
      <c r="V61" s="46" t="s">
        <v>44</v>
      </c>
      <c r="W61" s="46">
        <v>223299686</v>
      </c>
      <c r="X61" s="46" t="s">
        <v>174</v>
      </c>
      <c r="Y61" s="46" t="s">
        <v>64</v>
      </c>
      <c r="Z61" s="46" t="s">
        <v>160</v>
      </c>
      <c r="AA61" s="12" t="s">
        <v>161</v>
      </c>
      <c r="AB61" s="46">
        <v>0</v>
      </c>
      <c r="AD61" s="46" t="s">
        <v>67</v>
      </c>
      <c r="AE61" s="46">
        <v>23</v>
      </c>
    </row>
    <row r="62" spans="1:31" x14ac:dyDescent="0.25">
      <c r="A62" s="46" t="s">
        <v>57</v>
      </c>
      <c r="B62" s="46" t="s">
        <v>58</v>
      </c>
      <c r="C62" s="12" t="s">
        <v>165</v>
      </c>
      <c r="D62" s="46">
        <v>30055934</v>
      </c>
      <c r="E62" s="47">
        <v>45175</v>
      </c>
      <c r="F62" s="47">
        <v>45175</v>
      </c>
      <c r="G62" s="46">
        <v>1</v>
      </c>
      <c r="H62" s="47">
        <v>45196</v>
      </c>
      <c r="I62" s="47">
        <v>45252</v>
      </c>
      <c r="J62" s="46">
        <v>56</v>
      </c>
      <c r="K62" s="47">
        <v>45139</v>
      </c>
      <c r="L62" s="47">
        <v>45291</v>
      </c>
      <c r="M62" s="46">
        <v>80307</v>
      </c>
      <c r="N62" s="12" t="s">
        <v>177</v>
      </c>
      <c r="O62" s="46" t="s">
        <v>61</v>
      </c>
      <c r="P62" s="46" t="s">
        <v>62</v>
      </c>
      <c r="Q62" s="46">
        <v>48.9</v>
      </c>
      <c r="R62" s="46">
        <v>0</v>
      </c>
      <c r="S62" s="46">
        <v>48.9</v>
      </c>
      <c r="T62" s="46">
        <v>0</v>
      </c>
      <c r="U62" s="48">
        <v>1</v>
      </c>
      <c r="V62" s="46" t="s">
        <v>44</v>
      </c>
      <c r="W62" s="46">
        <v>223299686</v>
      </c>
      <c r="X62" s="46" t="s">
        <v>174</v>
      </c>
      <c r="Y62" s="46" t="s">
        <v>64</v>
      </c>
      <c r="Z62" s="46" t="s">
        <v>160</v>
      </c>
      <c r="AA62" s="12" t="s">
        <v>161</v>
      </c>
      <c r="AB62" s="46">
        <v>0</v>
      </c>
      <c r="AD62" s="46" t="s">
        <v>67</v>
      </c>
      <c r="AE62" s="46">
        <v>23</v>
      </c>
    </row>
    <row r="63" spans="1:31" x14ac:dyDescent="0.25">
      <c r="A63" s="46" t="s">
        <v>57</v>
      </c>
      <c r="B63" s="46" t="s">
        <v>58</v>
      </c>
      <c r="C63" s="12" t="s">
        <v>165</v>
      </c>
      <c r="D63" s="46">
        <v>30055934</v>
      </c>
      <c r="E63" s="47">
        <v>45175</v>
      </c>
      <c r="F63" s="47">
        <v>45175</v>
      </c>
      <c r="G63" s="46">
        <v>1</v>
      </c>
      <c r="H63" s="47">
        <v>45196</v>
      </c>
      <c r="I63" s="47">
        <v>45252</v>
      </c>
      <c r="J63" s="46">
        <v>56</v>
      </c>
      <c r="K63" s="47">
        <v>45139</v>
      </c>
      <c r="L63" s="47">
        <v>45291</v>
      </c>
      <c r="M63" s="46">
        <v>85025</v>
      </c>
      <c r="N63" s="12" t="s">
        <v>171</v>
      </c>
      <c r="O63" s="46" t="s">
        <v>61</v>
      </c>
      <c r="P63" s="46" t="s">
        <v>62</v>
      </c>
      <c r="Q63" s="46">
        <v>20.55</v>
      </c>
      <c r="R63" s="46">
        <v>0</v>
      </c>
      <c r="S63" s="46">
        <v>20.55</v>
      </c>
      <c r="T63" s="46">
        <v>0</v>
      </c>
      <c r="U63" s="48">
        <v>1</v>
      </c>
      <c r="V63" s="46" t="s">
        <v>44</v>
      </c>
      <c r="W63" s="46">
        <v>223299686</v>
      </c>
      <c r="X63" s="46" t="s">
        <v>174</v>
      </c>
      <c r="Y63" s="46" t="s">
        <v>64</v>
      </c>
      <c r="Z63" s="46" t="s">
        <v>160</v>
      </c>
      <c r="AA63" s="12" t="s">
        <v>161</v>
      </c>
      <c r="AB63" s="46">
        <v>0</v>
      </c>
      <c r="AD63" s="46" t="s">
        <v>67</v>
      </c>
      <c r="AE63" s="46">
        <v>23</v>
      </c>
    </row>
    <row r="64" spans="1:31" x14ac:dyDescent="0.25">
      <c r="A64" s="46" t="s">
        <v>57</v>
      </c>
      <c r="B64" s="46" t="s">
        <v>58</v>
      </c>
      <c r="C64" s="12" t="s">
        <v>165</v>
      </c>
      <c r="D64" s="46">
        <v>29121738</v>
      </c>
      <c r="E64" s="47">
        <v>45159</v>
      </c>
      <c r="F64" s="47">
        <v>45159</v>
      </c>
      <c r="G64" s="46">
        <v>1</v>
      </c>
      <c r="H64" s="47">
        <v>45189</v>
      </c>
      <c r="I64" s="47">
        <v>45203</v>
      </c>
      <c r="J64" s="46">
        <v>14</v>
      </c>
      <c r="K64" s="47">
        <v>45139</v>
      </c>
      <c r="L64" s="47">
        <v>45291</v>
      </c>
      <c r="M64" s="46">
        <v>85025</v>
      </c>
      <c r="N64" s="12" t="s">
        <v>171</v>
      </c>
      <c r="O64" s="46" t="s">
        <v>61</v>
      </c>
      <c r="P64" s="46" t="s">
        <v>62</v>
      </c>
      <c r="Q64" s="46">
        <v>20.55</v>
      </c>
      <c r="R64" s="46">
        <v>0</v>
      </c>
      <c r="S64" s="46">
        <v>20.55</v>
      </c>
      <c r="T64" s="46">
        <v>0</v>
      </c>
      <c r="U64" s="48">
        <v>1</v>
      </c>
      <c r="V64" s="46" t="s">
        <v>44</v>
      </c>
      <c r="W64" s="46">
        <v>223292469</v>
      </c>
      <c r="X64" s="46" t="s">
        <v>178</v>
      </c>
      <c r="Y64" s="46" t="s">
        <v>64</v>
      </c>
      <c r="Z64" s="46" t="s">
        <v>163</v>
      </c>
      <c r="AA64" s="12" t="s">
        <v>164</v>
      </c>
      <c r="AB64" s="46">
        <v>0</v>
      </c>
      <c r="AD64" s="46" t="s">
        <v>67</v>
      </c>
      <c r="AE64" s="46">
        <v>23</v>
      </c>
    </row>
    <row r="65" spans="1:31" x14ac:dyDescent="0.25">
      <c r="A65" s="46" t="s">
        <v>57</v>
      </c>
      <c r="B65" s="46" t="s">
        <v>58</v>
      </c>
      <c r="C65" s="12" t="s">
        <v>165</v>
      </c>
      <c r="D65" s="46">
        <v>29121738</v>
      </c>
      <c r="E65" s="47">
        <v>45159</v>
      </c>
      <c r="F65" s="47">
        <v>45159</v>
      </c>
      <c r="G65" s="46">
        <v>1</v>
      </c>
      <c r="H65" s="47">
        <v>45189</v>
      </c>
      <c r="I65" s="47">
        <v>45203</v>
      </c>
      <c r="J65" s="46">
        <v>14</v>
      </c>
      <c r="K65" s="47">
        <v>45139</v>
      </c>
      <c r="L65" s="47">
        <v>45291</v>
      </c>
      <c r="M65" s="46">
        <v>85610</v>
      </c>
      <c r="N65" s="12" t="s">
        <v>179</v>
      </c>
      <c r="O65" s="46" t="s">
        <v>61</v>
      </c>
      <c r="P65" s="46" t="s">
        <v>62</v>
      </c>
      <c r="Q65" s="46">
        <v>7.4</v>
      </c>
      <c r="R65" s="46">
        <v>0</v>
      </c>
      <c r="S65" s="46">
        <v>7.4</v>
      </c>
      <c r="T65" s="46">
        <v>0</v>
      </c>
      <c r="U65" s="48">
        <v>1</v>
      </c>
      <c r="V65" s="46" t="s">
        <v>44</v>
      </c>
      <c r="W65" s="46">
        <v>223292469</v>
      </c>
      <c r="X65" s="46" t="s">
        <v>178</v>
      </c>
      <c r="Y65" s="46" t="s">
        <v>64</v>
      </c>
      <c r="Z65" s="46" t="s">
        <v>163</v>
      </c>
      <c r="AA65" s="12" t="s">
        <v>164</v>
      </c>
      <c r="AB65" s="46">
        <v>0</v>
      </c>
      <c r="AD65" s="46" t="s">
        <v>67</v>
      </c>
      <c r="AE65" s="46">
        <v>23</v>
      </c>
    </row>
    <row r="66" spans="1:31" x14ac:dyDescent="0.25">
      <c r="A66" s="46" t="s">
        <v>57</v>
      </c>
      <c r="B66" s="46" t="s">
        <v>58</v>
      </c>
      <c r="C66" s="12" t="s">
        <v>165</v>
      </c>
      <c r="D66" s="46">
        <v>29121738</v>
      </c>
      <c r="E66" s="47">
        <v>45159</v>
      </c>
      <c r="F66" s="47">
        <v>45159</v>
      </c>
      <c r="G66" s="46">
        <v>1</v>
      </c>
      <c r="H66" s="47">
        <v>45189</v>
      </c>
      <c r="I66" s="47">
        <v>45203</v>
      </c>
      <c r="J66" s="46">
        <v>14</v>
      </c>
      <c r="K66" s="47">
        <v>45139</v>
      </c>
      <c r="L66" s="47">
        <v>45291</v>
      </c>
      <c r="M66" s="46">
        <v>85730</v>
      </c>
      <c r="N66" s="12" t="s">
        <v>180</v>
      </c>
      <c r="O66" s="46" t="s">
        <v>61</v>
      </c>
      <c r="P66" s="46" t="s">
        <v>62</v>
      </c>
      <c r="Q66" s="46">
        <v>9</v>
      </c>
      <c r="R66" s="46">
        <v>0</v>
      </c>
      <c r="S66" s="46">
        <v>9</v>
      </c>
      <c r="T66" s="46">
        <v>0</v>
      </c>
      <c r="U66" s="48">
        <v>1</v>
      </c>
      <c r="V66" s="46" t="s">
        <v>44</v>
      </c>
      <c r="W66" s="46">
        <v>223292469</v>
      </c>
      <c r="X66" s="46" t="s">
        <v>178</v>
      </c>
      <c r="Y66" s="46" t="s">
        <v>64</v>
      </c>
      <c r="Z66" s="46" t="s">
        <v>163</v>
      </c>
      <c r="AA66" s="12" t="s">
        <v>164</v>
      </c>
      <c r="AB66" s="46">
        <v>0</v>
      </c>
      <c r="AD66" s="46" t="s">
        <v>67</v>
      </c>
      <c r="AE66" s="46">
        <v>23</v>
      </c>
    </row>
    <row r="67" spans="1:31" x14ac:dyDescent="0.25">
      <c r="A67" s="46" t="s">
        <v>57</v>
      </c>
      <c r="B67" s="46" t="s">
        <v>58</v>
      </c>
      <c r="C67" s="12" t="s">
        <v>165</v>
      </c>
      <c r="D67" s="46">
        <v>29121738</v>
      </c>
      <c r="E67" s="47">
        <v>45159</v>
      </c>
      <c r="F67" s="47">
        <v>45159</v>
      </c>
      <c r="G67" s="46">
        <v>1</v>
      </c>
      <c r="H67" s="47">
        <v>45189</v>
      </c>
      <c r="I67" s="47">
        <v>45203</v>
      </c>
      <c r="J67" s="46">
        <v>14</v>
      </c>
      <c r="K67" s="47">
        <v>45139</v>
      </c>
      <c r="L67" s="47">
        <v>45291</v>
      </c>
      <c r="M67" s="46">
        <v>87040</v>
      </c>
      <c r="N67" s="12" t="s">
        <v>181</v>
      </c>
      <c r="O67" s="46" t="s">
        <v>61</v>
      </c>
      <c r="P67" s="46" t="s">
        <v>62</v>
      </c>
      <c r="Q67" s="46">
        <v>42.3</v>
      </c>
      <c r="R67" s="46">
        <v>0</v>
      </c>
      <c r="S67" s="46">
        <v>42.3</v>
      </c>
      <c r="T67" s="46">
        <v>0</v>
      </c>
      <c r="U67" s="48">
        <v>1</v>
      </c>
      <c r="V67" s="46" t="s">
        <v>44</v>
      </c>
      <c r="W67" s="46">
        <v>223292469</v>
      </c>
      <c r="X67" s="46" t="s">
        <v>178</v>
      </c>
      <c r="Y67" s="46" t="s">
        <v>64</v>
      </c>
      <c r="Z67" s="46" t="s">
        <v>163</v>
      </c>
      <c r="AA67" s="12" t="s">
        <v>164</v>
      </c>
      <c r="AB67" s="46">
        <v>0</v>
      </c>
      <c r="AD67" s="46" t="s">
        <v>67</v>
      </c>
      <c r="AE67" s="46">
        <v>23</v>
      </c>
    </row>
    <row r="68" spans="1:31" x14ac:dyDescent="0.25">
      <c r="A68" s="46" t="s">
        <v>57</v>
      </c>
      <c r="B68" s="46" t="s">
        <v>58</v>
      </c>
      <c r="C68" s="12" t="s">
        <v>165</v>
      </c>
      <c r="D68" s="46">
        <v>29121738</v>
      </c>
      <c r="E68" s="47">
        <v>45159</v>
      </c>
      <c r="F68" s="47">
        <v>45159</v>
      </c>
      <c r="G68" s="46">
        <v>1</v>
      </c>
      <c r="H68" s="47">
        <v>45190</v>
      </c>
      <c r="I68" s="47">
        <v>45209</v>
      </c>
      <c r="J68" s="46">
        <v>19</v>
      </c>
      <c r="K68" s="47">
        <v>45139</v>
      </c>
      <c r="L68" s="47">
        <v>45291</v>
      </c>
      <c r="M68" s="46">
        <v>80048</v>
      </c>
      <c r="N68" s="12" t="s">
        <v>182</v>
      </c>
      <c r="O68" s="46" t="s">
        <v>61</v>
      </c>
      <c r="P68" s="46" t="s">
        <v>62</v>
      </c>
      <c r="Q68" s="46">
        <v>60.65</v>
      </c>
      <c r="R68" s="46">
        <v>60.65</v>
      </c>
      <c r="S68" s="46">
        <v>0</v>
      </c>
      <c r="T68" s="46">
        <v>0</v>
      </c>
      <c r="U68" s="48">
        <v>0</v>
      </c>
      <c r="V68" s="46" t="s">
        <v>44</v>
      </c>
      <c r="W68" s="46">
        <v>223294115</v>
      </c>
      <c r="X68" s="46" t="s">
        <v>183</v>
      </c>
      <c r="Y68" s="46" t="s">
        <v>64</v>
      </c>
      <c r="Z68" s="46" t="s">
        <v>163</v>
      </c>
      <c r="AA68" s="12" t="s">
        <v>164</v>
      </c>
      <c r="AB68" s="46">
        <v>0</v>
      </c>
      <c r="AD68" s="46" t="s">
        <v>67</v>
      </c>
      <c r="AE68" s="46">
        <v>23</v>
      </c>
    </row>
    <row r="69" spans="1:31" x14ac:dyDescent="0.25">
      <c r="A69" s="46" t="s">
        <v>57</v>
      </c>
      <c r="B69" s="46" t="s">
        <v>58</v>
      </c>
      <c r="C69" s="12" t="s">
        <v>165</v>
      </c>
      <c r="D69" s="46">
        <v>29121738</v>
      </c>
      <c r="E69" s="47">
        <v>45159</v>
      </c>
      <c r="F69" s="47">
        <v>45159</v>
      </c>
      <c r="G69" s="46">
        <v>1</v>
      </c>
      <c r="H69" s="47">
        <v>45190</v>
      </c>
      <c r="I69" s="47">
        <v>45209</v>
      </c>
      <c r="J69" s="46">
        <v>19</v>
      </c>
      <c r="K69" s="47">
        <v>45139</v>
      </c>
      <c r="L69" s="47">
        <v>45291</v>
      </c>
      <c r="M69" s="46">
        <v>80076</v>
      </c>
      <c r="N69" s="12" t="s">
        <v>184</v>
      </c>
      <c r="O69" s="46" t="s">
        <v>61</v>
      </c>
      <c r="P69" s="46" t="s">
        <v>62</v>
      </c>
      <c r="Q69" s="46">
        <v>67.8</v>
      </c>
      <c r="R69" s="46">
        <v>67.8</v>
      </c>
      <c r="S69" s="46">
        <v>0</v>
      </c>
      <c r="T69" s="46">
        <v>0</v>
      </c>
      <c r="U69" s="48">
        <v>0</v>
      </c>
      <c r="V69" s="46" t="s">
        <v>44</v>
      </c>
      <c r="W69" s="46">
        <v>223294115</v>
      </c>
      <c r="X69" s="46" t="s">
        <v>183</v>
      </c>
      <c r="Y69" s="46" t="s">
        <v>64</v>
      </c>
      <c r="Z69" s="46" t="s">
        <v>163</v>
      </c>
      <c r="AA69" s="12" t="s">
        <v>164</v>
      </c>
      <c r="AB69" s="46">
        <v>0</v>
      </c>
      <c r="AD69" s="46" t="s">
        <v>67</v>
      </c>
      <c r="AE69" s="46">
        <v>23</v>
      </c>
    </row>
    <row r="70" spans="1:31" x14ac:dyDescent="0.25">
      <c r="A70" s="46" t="s">
        <v>57</v>
      </c>
      <c r="B70" s="46" t="s">
        <v>58</v>
      </c>
      <c r="C70" s="12" t="s">
        <v>165</v>
      </c>
      <c r="D70" s="46">
        <v>29121738</v>
      </c>
      <c r="E70" s="47">
        <v>45159</v>
      </c>
      <c r="F70" s="47">
        <v>45159</v>
      </c>
      <c r="G70" s="46">
        <v>1</v>
      </c>
      <c r="H70" s="47">
        <v>45190</v>
      </c>
      <c r="I70" s="47">
        <v>45209</v>
      </c>
      <c r="J70" s="46">
        <v>19</v>
      </c>
      <c r="K70" s="47">
        <v>45139</v>
      </c>
      <c r="L70" s="47">
        <v>45291</v>
      </c>
      <c r="M70" s="46">
        <v>83605</v>
      </c>
      <c r="N70" s="12" t="s">
        <v>170</v>
      </c>
      <c r="O70" s="46" t="s">
        <v>61</v>
      </c>
      <c r="P70" s="46" t="s">
        <v>62</v>
      </c>
      <c r="Q70" s="46">
        <v>13</v>
      </c>
      <c r="R70" s="46">
        <v>13</v>
      </c>
      <c r="S70" s="46">
        <v>0</v>
      </c>
      <c r="T70" s="46">
        <v>0</v>
      </c>
      <c r="U70" s="48">
        <v>0</v>
      </c>
      <c r="V70" s="46" t="s">
        <v>44</v>
      </c>
      <c r="W70" s="46">
        <v>223294115</v>
      </c>
      <c r="X70" s="46" t="s">
        <v>183</v>
      </c>
      <c r="Y70" s="46" t="s">
        <v>64</v>
      </c>
      <c r="Z70" s="46" t="s">
        <v>163</v>
      </c>
      <c r="AA70" s="12" t="s">
        <v>164</v>
      </c>
      <c r="AB70" s="46">
        <v>0</v>
      </c>
      <c r="AD70" s="46" t="s">
        <v>67</v>
      </c>
      <c r="AE70" s="46">
        <v>23</v>
      </c>
    </row>
    <row r="71" spans="1:31" x14ac:dyDescent="0.25">
      <c r="A71" s="46" t="s">
        <v>57</v>
      </c>
      <c r="B71" s="46" t="s">
        <v>58</v>
      </c>
      <c r="C71" s="12" t="s">
        <v>165</v>
      </c>
      <c r="D71" s="46">
        <v>29121738</v>
      </c>
      <c r="E71" s="47">
        <v>45159</v>
      </c>
      <c r="F71" s="47">
        <v>45159</v>
      </c>
      <c r="G71" s="46">
        <v>1</v>
      </c>
      <c r="H71" s="47">
        <v>45190</v>
      </c>
      <c r="I71" s="47">
        <v>45209</v>
      </c>
      <c r="J71" s="46">
        <v>19</v>
      </c>
      <c r="K71" s="47">
        <v>45139</v>
      </c>
      <c r="L71" s="47">
        <v>45291</v>
      </c>
      <c r="M71" s="46">
        <v>83735</v>
      </c>
      <c r="N71" s="12" t="s">
        <v>185</v>
      </c>
      <c r="O71" s="46" t="s">
        <v>61</v>
      </c>
      <c r="P71" s="46" t="s">
        <v>62</v>
      </c>
      <c r="Q71" s="46">
        <v>15.05</v>
      </c>
      <c r="R71" s="46">
        <v>15.05</v>
      </c>
      <c r="S71" s="46">
        <v>0</v>
      </c>
      <c r="T71" s="46">
        <v>0</v>
      </c>
      <c r="U71" s="48">
        <v>0</v>
      </c>
      <c r="V71" s="46" t="s">
        <v>44</v>
      </c>
      <c r="W71" s="46">
        <v>223294115</v>
      </c>
      <c r="X71" s="46" t="s">
        <v>183</v>
      </c>
      <c r="Y71" s="46" t="s">
        <v>64</v>
      </c>
      <c r="Z71" s="46" t="s">
        <v>163</v>
      </c>
      <c r="AA71" s="12" t="s">
        <v>164</v>
      </c>
      <c r="AB71" s="46">
        <v>0</v>
      </c>
      <c r="AD71" s="46" t="s">
        <v>67</v>
      </c>
      <c r="AE71" s="46">
        <v>23</v>
      </c>
    </row>
    <row r="72" spans="1:31" x14ac:dyDescent="0.25">
      <c r="A72" s="46" t="s">
        <v>57</v>
      </c>
      <c r="B72" s="46" t="s">
        <v>58</v>
      </c>
      <c r="C72" s="12" t="s">
        <v>165</v>
      </c>
      <c r="D72" s="46">
        <v>29121738</v>
      </c>
      <c r="E72" s="47">
        <v>45159</v>
      </c>
      <c r="F72" s="47">
        <v>45159</v>
      </c>
      <c r="G72" s="46">
        <v>1</v>
      </c>
      <c r="H72" s="47">
        <v>45190</v>
      </c>
      <c r="I72" s="47">
        <v>45209</v>
      </c>
      <c r="J72" s="46">
        <v>19</v>
      </c>
      <c r="K72" s="47">
        <v>45139</v>
      </c>
      <c r="L72" s="47">
        <v>45291</v>
      </c>
      <c r="M72" s="46">
        <v>84100</v>
      </c>
      <c r="N72" s="12" t="s">
        <v>186</v>
      </c>
      <c r="O72" s="46" t="s">
        <v>61</v>
      </c>
      <c r="P72" s="46" t="s">
        <v>62</v>
      </c>
      <c r="Q72" s="46">
        <v>7.6</v>
      </c>
      <c r="R72" s="46">
        <v>7.6</v>
      </c>
      <c r="S72" s="46">
        <v>0</v>
      </c>
      <c r="T72" s="46">
        <v>0</v>
      </c>
      <c r="U72" s="48">
        <v>0</v>
      </c>
      <c r="V72" s="46" t="s">
        <v>44</v>
      </c>
      <c r="W72" s="46">
        <v>223294115</v>
      </c>
      <c r="X72" s="46" t="s">
        <v>183</v>
      </c>
      <c r="Y72" s="46" t="s">
        <v>64</v>
      </c>
      <c r="Z72" s="46" t="s">
        <v>163</v>
      </c>
      <c r="AA72" s="12" t="s">
        <v>164</v>
      </c>
      <c r="AB72" s="46">
        <v>0</v>
      </c>
      <c r="AD72" s="46" t="s">
        <v>67</v>
      </c>
      <c r="AE72" s="46">
        <v>23</v>
      </c>
    </row>
    <row r="73" spans="1:31" x14ac:dyDescent="0.25">
      <c r="A73" s="46" t="s">
        <v>57</v>
      </c>
      <c r="B73" s="46" t="s">
        <v>58</v>
      </c>
      <c r="C73" s="12" t="s">
        <v>165</v>
      </c>
      <c r="D73" s="46">
        <v>29121738</v>
      </c>
      <c r="E73" s="47">
        <v>45159</v>
      </c>
      <c r="F73" s="47">
        <v>45159</v>
      </c>
      <c r="G73" s="46">
        <v>1</v>
      </c>
      <c r="H73" s="47">
        <v>45190</v>
      </c>
      <c r="I73" s="47">
        <v>45209</v>
      </c>
      <c r="J73" s="46">
        <v>19</v>
      </c>
      <c r="K73" s="47">
        <v>45139</v>
      </c>
      <c r="L73" s="47">
        <v>45291</v>
      </c>
      <c r="M73" s="46">
        <v>86140</v>
      </c>
      <c r="N73" s="12" t="s">
        <v>187</v>
      </c>
      <c r="O73" s="46" t="s">
        <v>61</v>
      </c>
      <c r="P73" s="46" t="s">
        <v>62</v>
      </c>
      <c r="Q73" s="46">
        <v>7.65</v>
      </c>
      <c r="R73" s="46">
        <v>7.65</v>
      </c>
      <c r="S73" s="46">
        <v>0</v>
      </c>
      <c r="T73" s="46">
        <v>0</v>
      </c>
      <c r="U73" s="48">
        <v>0</v>
      </c>
      <c r="V73" s="46" t="s">
        <v>44</v>
      </c>
      <c r="W73" s="46">
        <v>223294115</v>
      </c>
      <c r="X73" s="46" t="s">
        <v>183</v>
      </c>
      <c r="Y73" s="46" t="s">
        <v>64</v>
      </c>
      <c r="Z73" s="46" t="s">
        <v>163</v>
      </c>
      <c r="AA73" s="12" t="s">
        <v>164</v>
      </c>
      <c r="AB73" s="46">
        <v>0</v>
      </c>
      <c r="AD73" s="46" t="s">
        <v>67</v>
      </c>
      <c r="AE73" s="46">
        <v>23</v>
      </c>
    </row>
    <row r="74" spans="1:31" x14ac:dyDescent="0.25">
      <c r="A74" s="46" t="s">
        <v>57</v>
      </c>
      <c r="B74" s="46" t="s">
        <v>58</v>
      </c>
      <c r="C74" s="12" t="s">
        <v>165</v>
      </c>
      <c r="D74" s="46">
        <v>29025042</v>
      </c>
      <c r="E74" s="47">
        <v>45152</v>
      </c>
      <c r="F74" s="47">
        <v>45152</v>
      </c>
      <c r="G74" s="46">
        <v>1</v>
      </c>
      <c r="H74" s="47">
        <v>45267</v>
      </c>
      <c r="I74" s="47">
        <v>45273</v>
      </c>
      <c r="J74" s="46">
        <v>6</v>
      </c>
      <c r="K74" s="47">
        <v>45139</v>
      </c>
      <c r="L74" s="47">
        <v>45291</v>
      </c>
      <c r="M74" s="46">
        <v>83036</v>
      </c>
      <c r="N74" s="12" t="s">
        <v>188</v>
      </c>
      <c r="O74" s="46" t="s">
        <v>78</v>
      </c>
      <c r="P74" s="46" t="s">
        <v>92</v>
      </c>
      <c r="Q74" s="46">
        <v>10</v>
      </c>
      <c r="R74" s="46">
        <v>0</v>
      </c>
      <c r="S74" s="46">
        <v>10</v>
      </c>
      <c r="T74" s="46">
        <v>0</v>
      </c>
      <c r="U74" s="48">
        <v>1</v>
      </c>
      <c r="V74" s="46" t="s">
        <v>44</v>
      </c>
      <c r="W74" s="46">
        <v>223406023</v>
      </c>
      <c r="X74" s="46" t="s">
        <v>189</v>
      </c>
      <c r="Y74" s="46" t="s">
        <v>64</v>
      </c>
      <c r="Z74" s="46" t="s">
        <v>190</v>
      </c>
      <c r="AA74" s="12" t="s">
        <v>191</v>
      </c>
      <c r="AB74" s="46">
        <v>0</v>
      </c>
      <c r="AD74" s="46" t="s">
        <v>67</v>
      </c>
      <c r="AE74" s="46">
        <v>22</v>
      </c>
    </row>
    <row r="75" spans="1:31" x14ac:dyDescent="0.25">
      <c r="A75" s="46" t="s">
        <v>57</v>
      </c>
      <c r="B75" s="46" t="s">
        <v>58</v>
      </c>
      <c r="C75" s="12" t="s">
        <v>165</v>
      </c>
      <c r="D75" s="46">
        <v>29025042</v>
      </c>
      <c r="E75" s="47">
        <v>45152</v>
      </c>
      <c r="F75" s="47">
        <v>45152</v>
      </c>
      <c r="G75" s="46">
        <v>1</v>
      </c>
      <c r="H75" s="47">
        <v>45267</v>
      </c>
      <c r="I75" s="47">
        <v>45273</v>
      </c>
      <c r="J75" s="46">
        <v>6</v>
      </c>
      <c r="K75" s="47">
        <v>45139</v>
      </c>
      <c r="L75" s="47">
        <v>45291</v>
      </c>
      <c r="M75" s="46">
        <v>86850</v>
      </c>
      <c r="N75" s="12" t="s">
        <v>192</v>
      </c>
      <c r="O75" s="46" t="s">
        <v>78</v>
      </c>
      <c r="P75" s="46" t="s">
        <v>92</v>
      </c>
      <c r="Q75" s="46">
        <v>13.45</v>
      </c>
      <c r="R75" s="46">
        <v>0</v>
      </c>
      <c r="S75" s="46">
        <v>13.45</v>
      </c>
      <c r="T75" s="46">
        <v>0</v>
      </c>
      <c r="U75" s="48">
        <v>1</v>
      </c>
      <c r="V75" s="46" t="s">
        <v>44</v>
      </c>
      <c r="W75" s="46">
        <v>223406023</v>
      </c>
      <c r="X75" s="46" t="s">
        <v>189</v>
      </c>
      <c r="Y75" s="46" t="s">
        <v>64</v>
      </c>
      <c r="Z75" s="46" t="s">
        <v>190</v>
      </c>
      <c r="AA75" s="12" t="s">
        <v>191</v>
      </c>
      <c r="AB75" s="46">
        <v>0</v>
      </c>
      <c r="AD75" s="46" t="s">
        <v>67</v>
      </c>
      <c r="AE75" s="46">
        <v>22</v>
      </c>
    </row>
    <row r="76" spans="1:31" x14ac:dyDescent="0.25">
      <c r="A76" s="46" t="s">
        <v>57</v>
      </c>
      <c r="B76" s="46" t="s">
        <v>58</v>
      </c>
      <c r="C76" s="12" t="s">
        <v>165</v>
      </c>
      <c r="D76" s="46">
        <v>29025042</v>
      </c>
      <c r="E76" s="47">
        <v>45152</v>
      </c>
      <c r="F76" s="47">
        <v>45152</v>
      </c>
      <c r="G76" s="46">
        <v>1</v>
      </c>
      <c r="H76" s="47">
        <v>45267</v>
      </c>
      <c r="I76" s="47">
        <v>45273</v>
      </c>
      <c r="J76" s="46">
        <v>6</v>
      </c>
      <c r="K76" s="47">
        <v>45139</v>
      </c>
      <c r="L76" s="47">
        <v>45291</v>
      </c>
      <c r="M76" s="46">
        <v>86900</v>
      </c>
      <c r="N76" s="12" t="s">
        <v>193</v>
      </c>
      <c r="O76" s="46" t="s">
        <v>78</v>
      </c>
      <c r="P76" s="46" t="s">
        <v>92</v>
      </c>
      <c r="Q76" s="46">
        <v>8.1</v>
      </c>
      <c r="R76" s="46">
        <v>0</v>
      </c>
      <c r="S76" s="46">
        <v>8.1</v>
      </c>
      <c r="T76" s="46">
        <v>0</v>
      </c>
      <c r="U76" s="48">
        <v>1</v>
      </c>
      <c r="V76" s="46" t="s">
        <v>44</v>
      </c>
      <c r="W76" s="46">
        <v>223406023</v>
      </c>
      <c r="X76" s="46" t="s">
        <v>189</v>
      </c>
      <c r="Y76" s="46" t="s">
        <v>64</v>
      </c>
      <c r="Z76" s="46" t="s">
        <v>190</v>
      </c>
      <c r="AA76" s="12" t="s">
        <v>191</v>
      </c>
      <c r="AB76" s="46">
        <v>0</v>
      </c>
      <c r="AD76" s="46" t="s">
        <v>67</v>
      </c>
      <c r="AE76" s="46">
        <v>22</v>
      </c>
    </row>
    <row r="77" spans="1:31" x14ac:dyDescent="0.25">
      <c r="A77" s="46" t="s">
        <v>57</v>
      </c>
      <c r="B77" s="46" t="s">
        <v>58</v>
      </c>
      <c r="C77" s="12" t="s">
        <v>165</v>
      </c>
      <c r="D77" s="46">
        <v>29025042</v>
      </c>
      <c r="E77" s="47">
        <v>45152</v>
      </c>
      <c r="F77" s="47">
        <v>45152</v>
      </c>
      <c r="G77" s="46">
        <v>1</v>
      </c>
      <c r="H77" s="47">
        <v>45267</v>
      </c>
      <c r="I77" s="47">
        <v>45273</v>
      </c>
      <c r="J77" s="46">
        <v>6</v>
      </c>
      <c r="K77" s="47">
        <v>45139</v>
      </c>
      <c r="L77" s="47">
        <v>45291</v>
      </c>
      <c r="M77" s="46">
        <v>86901</v>
      </c>
      <c r="N77" s="12" t="s">
        <v>194</v>
      </c>
      <c r="O77" s="46" t="s">
        <v>78</v>
      </c>
      <c r="P77" s="46" t="s">
        <v>92</v>
      </c>
      <c r="Q77" s="46">
        <v>9.0500000000000007</v>
      </c>
      <c r="R77" s="46">
        <v>0</v>
      </c>
      <c r="S77" s="46">
        <v>9.0500000000000007</v>
      </c>
      <c r="T77" s="46">
        <v>0</v>
      </c>
      <c r="U77" s="48">
        <v>1</v>
      </c>
      <c r="V77" s="46" t="s">
        <v>44</v>
      </c>
      <c r="W77" s="46">
        <v>223406023</v>
      </c>
      <c r="X77" s="46" t="s">
        <v>189</v>
      </c>
      <c r="Y77" s="46" t="s">
        <v>64</v>
      </c>
      <c r="Z77" s="46" t="s">
        <v>190</v>
      </c>
      <c r="AA77" s="12" t="s">
        <v>191</v>
      </c>
      <c r="AB77" s="46">
        <v>0</v>
      </c>
      <c r="AD77" s="46" t="s">
        <v>67</v>
      </c>
      <c r="AE77" s="46">
        <v>22</v>
      </c>
    </row>
    <row r="78" spans="1:31" x14ac:dyDescent="0.25">
      <c r="A78" s="46" t="s">
        <v>57</v>
      </c>
      <c r="B78" s="46" t="s">
        <v>58</v>
      </c>
      <c r="C78" s="12" t="s">
        <v>165</v>
      </c>
      <c r="D78" s="46">
        <v>29025042</v>
      </c>
      <c r="E78" s="47">
        <v>45152</v>
      </c>
      <c r="F78" s="47">
        <v>45152</v>
      </c>
      <c r="G78" s="46">
        <v>1</v>
      </c>
      <c r="H78" s="47">
        <v>45267</v>
      </c>
      <c r="I78" s="47">
        <v>45273</v>
      </c>
      <c r="J78" s="46">
        <v>6</v>
      </c>
      <c r="K78" s="47">
        <v>45139</v>
      </c>
      <c r="L78" s="47">
        <v>45291</v>
      </c>
      <c r="M78" s="46">
        <v>85025</v>
      </c>
      <c r="N78" s="12" t="s">
        <v>171</v>
      </c>
      <c r="O78" s="46" t="s">
        <v>78</v>
      </c>
      <c r="P78" s="46" t="s">
        <v>92</v>
      </c>
      <c r="Q78" s="46">
        <v>20.55</v>
      </c>
      <c r="R78" s="46">
        <v>0</v>
      </c>
      <c r="S78" s="46">
        <v>20.55</v>
      </c>
      <c r="T78" s="46">
        <v>0</v>
      </c>
      <c r="U78" s="48">
        <v>1</v>
      </c>
      <c r="V78" s="46" t="s">
        <v>44</v>
      </c>
      <c r="W78" s="46">
        <v>223406023</v>
      </c>
      <c r="X78" s="46" t="s">
        <v>189</v>
      </c>
      <c r="Y78" s="46" t="s">
        <v>64</v>
      </c>
      <c r="Z78" s="46" t="s">
        <v>190</v>
      </c>
      <c r="AA78" s="12" t="s">
        <v>191</v>
      </c>
      <c r="AB78" s="46">
        <v>0</v>
      </c>
      <c r="AD78" s="46" t="s">
        <v>67</v>
      </c>
      <c r="AE78" s="46">
        <v>22</v>
      </c>
    </row>
    <row r="79" spans="1:31" x14ac:dyDescent="0.25">
      <c r="A79" s="46" t="s">
        <v>57</v>
      </c>
      <c r="B79" s="46" t="s">
        <v>58</v>
      </c>
      <c r="C79" s="12" t="s">
        <v>195</v>
      </c>
      <c r="D79" s="46">
        <v>29450662</v>
      </c>
      <c r="E79" s="47">
        <v>45188</v>
      </c>
      <c r="F79" s="47">
        <v>45193</v>
      </c>
      <c r="G79" s="46">
        <v>5</v>
      </c>
      <c r="H79" s="47">
        <v>45225</v>
      </c>
      <c r="I79" s="47">
        <v>45245</v>
      </c>
      <c r="J79" s="46">
        <v>20</v>
      </c>
      <c r="K79" s="47">
        <v>45139</v>
      </c>
      <c r="L79" s="47">
        <v>45291</v>
      </c>
      <c r="N79" s="12"/>
      <c r="O79" s="46" t="s">
        <v>148</v>
      </c>
      <c r="P79" s="46" t="s">
        <v>149</v>
      </c>
      <c r="Q79" s="49">
        <v>10175</v>
      </c>
      <c r="R79" s="46">
        <v>0</v>
      </c>
      <c r="S79" s="49">
        <v>7529.5</v>
      </c>
      <c r="T79" s="49">
        <v>2645.5</v>
      </c>
      <c r="U79" s="48">
        <v>0.74</v>
      </c>
      <c r="V79" s="46" t="s">
        <v>44</v>
      </c>
      <c r="W79" s="46">
        <v>223340164</v>
      </c>
      <c r="X79" s="46" t="s">
        <v>196</v>
      </c>
      <c r="Y79" s="46" t="s">
        <v>64</v>
      </c>
      <c r="Z79" s="46" t="s">
        <v>150</v>
      </c>
      <c r="AA79" s="12" t="s">
        <v>151</v>
      </c>
      <c r="AB79" s="46">
        <v>111</v>
      </c>
      <c r="AC79" s="46">
        <v>656</v>
      </c>
      <c r="AD79" s="46" t="s">
        <v>157</v>
      </c>
      <c r="AE79" s="46">
        <v>0</v>
      </c>
    </row>
    <row r="80" spans="1:31" x14ac:dyDescent="0.25">
      <c r="A80" s="46" t="s">
        <v>57</v>
      </c>
      <c r="B80" s="46" t="s">
        <v>58</v>
      </c>
      <c r="C80" s="12" t="s">
        <v>195</v>
      </c>
      <c r="D80" s="46">
        <v>29450662</v>
      </c>
      <c r="E80" s="47">
        <v>45188</v>
      </c>
      <c r="F80" s="47">
        <v>45193</v>
      </c>
      <c r="G80" s="46">
        <v>5</v>
      </c>
      <c r="H80" s="47">
        <v>45225</v>
      </c>
      <c r="I80" s="47">
        <v>45245</v>
      </c>
      <c r="J80" s="46">
        <v>20</v>
      </c>
      <c r="K80" s="47">
        <v>45139</v>
      </c>
      <c r="L80" s="47">
        <v>45291</v>
      </c>
      <c r="N80" s="12"/>
      <c r="O80" s="46" t="s">
        <v>148</v>
      </c>
      <c r="P80" s="46" t="s">
        <v>149</v>
      </c>
      <c r="Q80" s="49">
        <v>55223.25</v>
      </c>
      <c r="R80" s="46">
        <v>0</v>
      </c>
      <c r="S80" s="49">
        <v>40865.199999999997</v>
      </c>
      <c r="T80" s="49">
        <v>14358.05</v>
      </c>
      <c r="U80" s="48">
        <v>0.7399</v>
      </c>
      <c r="V80" s="46" t="s">
        <v>44</v>
      </c>
      <c r="W80" s="46">
        <v>223340164</v>
      </c>
      <c r="X80" s="46" t="s">
        <v>196</v>
      </c>
      <c r="Y80" s="46" t="s">
        <v>64</v>
      </c>
      <c r="Z80" s="46" t="s">
        <v>150</v>
      </c>
      <c r="AA80" s="12" t="s">
        <v>151</v>
      </c>
      <c r="AB80" s="46">
        <v>111</v>
      </c>
      <c r="AC80" s="46">
        <v>656</v>
      </c>
      <c r="AD80" s="46" t="s">
        <v>157</v>
      </c>
      <c r="AE80" s="46">
        <v>0</v>
      </c>
    </row>
    <row r="81" spans="1:31" x14ac:dyDescent="0.25">
      <c r="A81" s="46" t="s">
        <v>57</v>
      </c>
      <c r="B81" s="46" t="s">
        <v>58</v>
      </c>
      <c r="C81" s="12" t="s">
        <v>195</v>
      </c>
      <c r="D81" s="46">
        <v>29450662</v>
      </c>
      <c r="E81" s="47">
        <v>45188</v>
      </c>
      <c r="F81" s="47">
        <v>45193</v>
      </c>
      <c r="G81" s="46">
        <v>5</v>
      </c>
      <c r="H81" s="47">
        <v>45260</v>
      </c>
      <c r="I81" s="47">
        <v>45266</v>
      </c>
      <c r="J81" s="46">
        <v>6</v>
      </c>
      <c r="K81" s="47">
        <v>45139</v>
      </c>
      <c r="L81" s="47">
        <v>45291</v>
      </c>
      <c r="N81" s="12"/>
      <c r="O81" s="46" t="s">
        <v>148</v>
      </c>
      <c r="P81" s="46" t="s">
        <v>149</v>
      </c>
      <c r="Q81" s="49">
        <v>10175</v>
      </c>
      <c r="R81" s="49">
        <v>10175</v>
      </c>
      <c r="S81" s="46">
        <v>0</v>
      </c>
      <c r="T81" s="46">
        <v>0</v>
      </c>
      <c r="U81" s="48">
        <v>0</v>
      </c>
      <c r="V81" s="46" t="s">
        <v>44</v>
      </c>
      <c r="W81" s="46">
        <v>223396459</v>
      </c>
      <c r="X81" s="46" t="s">
        <v>197</v>
      </c>
      <c r="Y81" s="46" t="s">
        <v>64</v>
      </c>
      <c r="Z81" s="46" t="s">
        <v>150</v>
      </c>
      <c r="AA81" s="12" t="s">
        <v>151</v>
      </c>
      <c r="AB81" s="46">
        <v>111</v>
      </c>
      <c r="AC81" s="46">
        <v>656</v>
      </c>
      <c r="AD81" s="46" t="s">
        <v>157</v>
      </c>
      <c r="AE81" s="46">
        <v>0</v>
      </c>
    </row>
    <row r="82" spans="1:31" x14ac:dyDescent="0.25">
      <c r="A82" s="46" t="s">
        <v>57</v>
      </c>
      <c r="B82" s="46" t="s">
        <v>58</v>
      </c>
      <c r="C82" s="12" t="s">
        <v>195</v>
      </c>
      <c r="D82" s="46">
        <v>29450662</v>
      </c>
      <c r="E82" s="47">
        <v>45188</v>
      </c>
      <c r="F82" s="47">
        <v>45193</v>
      </c>
      <c r="G82" s="46">
        <v>5</v>
      </c>
      <c r="H82" s="47">
        <v>45260</v>
      </c>
      <c r="I82" s="47">
        <v>45266</v>
      </c>
      <c r="J82" s="46">
        <v>6</v>
      </c>
      <c r="K82" s="47">
        <v>45139</v>
      </c>
      <c r="L82" s="47">
        <v>45291</v>
      </c>
      <c r="N82" s="12"/>
      <c r="O82" s="46" t="s">
        <v>148</v>
      </c>
      <c r="P82" s="46" t="s">
        <v>149</v>
      </c>
      <c r="Q82" s="49">
        <v>55223.25</v>
      </c>
      <c r="R82" s="49">
        <v>55223.25</v>
      </c>
      <c r="S82" s="46">
        <v>0</v>
      </c>
      <c r="T82" s="46">
        <v>0</v>
      </c>
      <c r="U82" s="48">
        <v>0</v>
      </c>
      <c r="V82" s="46" t="s">
        <v>44</v>
      </c>
      <c r="W82" s="46">
        <v>223396459</v>
      </c>
      <c r="X82" s="46" t="s">
        <v>197</v>
      </c>
      <c r="Y82" s="46" t="s">
        <v>64</v>
      </c>
      <c r="Z82" s="46" t="s">
        <v>150</v>
      </c>
      <c r="AA82" s="12" t="s">
        <v>151</v>
      </c>
      <c r="AB82" s="46">
        <v>111</v>
      </c>
      <c r="AC82" s="46">
        <v>656</v>
      </c>
      <c r="AD82" s="46" t="s">
        <v>157</v>
      </c>
      <c r="AE82" s="46">
        <v>0</v>
      </c>
    </row>
    <row r="83" spans="1:31" x14ac:dyDescent="0.25">
      <c r="A83" s="46" t="s">
        <v>57</v>
      </c>
      <c r="B83" s="46" t="s">
        <v>58</v>
      </c>
      <c r="C83" s="12" t="s">
        <v>195</v>
      </c>
      <c r="D83" s="46">
        <v>29169952</v>
      </c>
      <c r="E83" s="47">
        <v>45184</v>
      </c>
      <c r="F83" s="47">
        <v>45184</v>
      </c>
      <c r="G83" s="46">
        <v>1</v>
      </c>
      <c r="H83" s="47">
        <v>45265</v>
      </c>
      <c r="I83" s="47">
        <v>45273</v>
      </c>
      <c r="J83" s="46">
        <v>8</v>
      </c>
      <c r="K83" s="47">
        <v>45139</v>
      </c>
      <c r="L83" s="47">
        <v>45291</v>
      </c>
      <c r="M83" s="46">
        <v>81001</v>
      </c>
      <c r="N83" s="12" t="s">
        <v>172</v>
      </c>
      <c r="O83" s="46" t="s">
        <v>78</v>
      </c>
      <c r="P83" s="46" t="s">
        <v>92</v>
      </c>
      <c r="Q83" s="49">
        <v>2285.25</v>
      </c>
      <c r="R83" s="46">
        <v>0</v>
      </c>
      <c r="S83" s="49">
        <v>1942.46</v>
      </c>
      <c r="T83" s="46">
        <v>342.79</v>
      </c>
      <c r="U83" s="48">
        <v>0.84989999999999999</v>
      </c>
      <c r="V83" s="46" t="s">
        <v>44</v>
      </c>
      <c r="W83" s="46">
        <v>223401880</v>
      </c>
      <c r="X83" s="46" t="s">
        <v>198</v>
      </c>
      <c r="Y83" s="46" t="s">
        <v>64</v>
      </c>
      <c r="Z83" s="46" t="s">
        <v>150</v>
      </c>
      <c r="AA83" s="12" t="s">
        <v>151</v>
      </c>
      <c r="AB83" s="46">
        <v>131</v>
      </c>
      <c r="AD83" s="46" t="s">
        <v>157</v>
      </c>
      <c r="AE83" s="46">
        <v>0</v>
      </c>
    </row>
    <row r="84" spans="1:31" x14ac:dyDescent="0.25">
      <c r="A84" s="46" t="s">
        <v>57</v>
      </c>
      <c r="B84" s="46" t="s">
        <v>58</v>
      </c>
      <c r="C84" s="12" t="s">
        <v>199</v>
      </c>
      <c r="D84" s="46">
        <v>29507912</v>
      </c>
      <c r="E84" s="47">
        <v>45192</v>
      </c>
      <c r="F84" s="47">
        <v>45192</v>
      </c>
      <c r="G84" s="46">
        <v>1</v>
      </c>
      <c r="H84" s="47">
        <v>45215</v>
      </c>
      <c r="I84" s="47">
        <v>45224</v>
      </c>
      <c r="J84" s="46">
        <v>9</v>
      </c>
      <c r="K84" s="47">
        <v>45139</v>
      </c>
      <c r="L84" s="47">
        <v>45291</v>
      </c>
      <c r="M84" s="46" t="s">
        <v>200</v>
      </c>
      <c r="N84" s="12" t="s">
        <v>201</v>
      </c>
      <c r="O84" s="46" t="s">
        <v>61</v>
      </c>
      <c r="P84" s="46" t="s">
        <v>62</v>
      </c>
      <c r="Q84" s="49">
        <v>3884.55</v>
      </c>
      <c r="R84" s="49">
        <v>3884.55</v>
      </c>
      <c r="S84" s="46">
        <v>0</v>
      </c>
      <c r="T84" s="46">
        <v>0</v>
      </c>
      <c r="U84" s="48">
        <v>0</v>
      </c>
      <c r="V84" s="46" t="s">
        <v>44</v>
      </c>
      <c r="W84" s="46">
        <v>223323876</v>
      </c>
      <c r="X84" s="46" t="s">
        <v>202</v>
      </c>
      <c r="Y84" s="46" t="s">
        <v>64</v>
      </c>
      <c r="Z84" s="46" t="s">
        <v>203</v>
      </c>
      <c r="AA84" s="12" t="s">
        <v>204</v>
      </c>
      <c r="AB84" s="46">
        <v>131</v>
      </c>
      <c r="AD84" s="46" t="s">
        <v>157</v>
      </c>
      <c r="AE84" s="46">
        <v>0</v>
      </c>
    </row>
    <row r="85" spans="1:31" x14ac:dyDescent="0.25">
      <c r="A85" s="46" t="s">
        <v>57</v>
      </c>
      <c r="B85" s="46" t="s">
        <v>58</v>
      </c>
      <c r="C85" s="12" t="s">
        <v>199</v>
      </c>
      <c r="D85" s="46">
        <v>29428987</v>
      </c>
      <c r="E85" s="47">
        <v>45187</v>
      </c>
      <c r="F85" s="47">
        <v>45190</v>
      </c>
      <c r="G85" s="46">
        <v>3</v>
      </c>
      <c r="H85" s="47">
        <v>45226</v>
      </c>
      <c r="I85" s="47">
        <v>45245</v>
      </c>
      <c r="J85" s="46">
        <v>19</v>
      </c>
      <c r="K85" s="47">
        <v>45139</v>
      </c>
      <c r="L85" s="47">
        <v>45291</v>
      </c>
      <c r="N85" s="12"/>
      <c r="O85" s="46" t="s">
        <v>61</v>
      </c>
      <c r="P85" s="46" t="s">
        <v>62</v>
      </c>
      <c r="Q85" s="49">
        <v>5148</v>
      </c>
      <c r="R85" s="46">
        <v>0</v>
      </c>
      <c r="S85" s="49">
        <v>3191.76</v>
      </c>
      <c r="T85" s="49">
        <v>1956.24</v>
      </c>
      <c r="U85" s="48">
        <v>0.62</v>
      </c>
      <c r="V85" s="46" t="s">
        <v>44</v>
      </c>
      <c r="W85" s="46">
        <v>223344933</v>
      </c>
      <c r="X85" s="46" t="s">
        <v>205</v>
      </c>
      <c r="Y85" s="46" t="s">
        <v>64</v>
      </c>
      <c r="Z85" s="46" t="s">
        <v>86</v>
      </c>
      <c r="AA85" s="12" t="s">
        <v>87</v>
      </c>
      <c r="AB85" s="46">
        <v>111</v>
      </c>
      <c r="AC85" s="46">
        <v>871</v>
      </c>
      <c r="AD85" s="46" t="s">
        <v>157</v>
      </c>
      <c r="AE85" s="46">
        <v>0</v>
      </c>
    </row>
    <row r="86" spans="1:31" x14ac:dyDescent="0.25">
      <c r="A86" s="46" t="s">
        <v>57</v>
      </c>
      <c r="B86" s="46" t="s">
        <v>58</v>
      </c>
      <c r="C86" s="12" t="s">
        <v>199</v>
      </c>
      <c r="D86" s="46">
        <v>29428987</v>
      </c>
      <c r="E86" s="47">
        <v>45187</v>
      </c>
      <c r="F86" s="47">
        <v>45190</v>
      </c>
      <c r="G86" s="46">
        <v>3</v>
      </c>
      <c r="H86" s="47">
        <v>45226</v>
      </c>
      <c r="I86" s="47">
        <v>45245</v>
      </c>
      <c r="J86" s="46">
        <v>19</v>
      </c>
      <c r="K86" s="47">
        <v>45139</v>
      </c>
      <c r="L86" s="47">
        <v>45291</v>
      </c>
      <c r="N86" s="12"/>
      <c r="O86" s="46" t="s">
        <v>61</v>
      </c>
      <c r="P86" s="46" t="s">
        <v>62</v>
      </c>
      <c r="Q86" s="49">
        <v>20661.93</v>
      </c>
      <c r="R86" s="46">
        <v>0</v>
      </c>
      <c r="S86" s="49">
        <v>12810.39</v>
      </c>
      <c r="T86" s="49">
        <v>7851.54</v>
      </c>
      <c r="U86" s="48">
        <v>0.61990000000000001</v>
      </c>
      <c r="V86" s="46" t="s">
        <v>44</v>
      </c>
      <c r="W86" s="46">
        <v>223344933</v>
      </c>
      <c r="X86" s="46" t="s">
        <v>205</v>
      </c>
      <c r="Y86" s="46" t="s">
        <v>64</v>
      </c>
      <c r="Z86" s="46" t="s">
        <v>86</v>
      </c>
      <c r="AA86" s="12" t="s">
        <v>87</v>
      </c>
      <c r="AB86" s="46">
        <v>111</v>
      </c>
      <c r="AC86" s="46">
        <v>871</v>
      </c>
      <c r="AD86" s="46" t="s">
        <v>157</v>
      </c>
      <c r="AE86" s="46">
        <v>0</v>
      </c>
    </row>
    <row r="87" spans="1:31" x14ac:dyDescent="0.25">
      <c r="A87" s="46" t="s">
        <v>57</v>
      </c>
      <c r="B87" s="46" t="s">
        <v>58</v>
      </c>
      <c r="C87" s="12" t="s">
        <v>199</v>
      </c>
      <c r="D87" s="46">
        <v>29251129</v>
      </c>
      <c r="E87" s="47">
        <v>45167</v>
      </c>
      <c r="F87" s="47">
        <v>45167</v>
      </c>
      <c r="G87" s="46">
        <v>1</v>
      </c>
      <c r="H87" s="47">
        <v>45246</v>
      </c>
      <c r="I87" s="47">
        <v>45259</v>
      </c>
      <c r="J87" s="46">
        <v>13</v>
      </c>
      <c r="K87" s="47">
        <v>45139</v>
      </c>
      <c r="L87" s="47">
        <v>45291</v>
      </c>
      <c r="M87" s="46">
        <v>99283</v>
      </c>
      <c r="N87" s="12" t="s">
        <v>155</v>
      </c>
      <c r="O87" s="46" t="s">
        <v>61</v>
      </c>
      <c r="P87" s="46" t="s">
        <v>62</v>
      </c>
      <c r="Q87" s="49">
        <v>2048.8000000000002</v>
      </c>
      <c r="R87" s="46">
        <v>0</v>
      </c>
      <c r="S87" s="49">
        <v>1618.55</v>
      </c>
      <c r="T87" s="46">
        <v>430.25</v>
      </c>
      <c r="U87" s="48">
        <v>0.78990000000000005</v>
      </c>
      <c r="V87" s="46" t="s">
        <v>44</v>
      </c>
      <c r="W87" s="46">
        <v>223375688</v>
      </c>
      <c r="X87" s="46" t="s">
        <v>206</v>
      </c>
      <c r="Y87" s="46" t="s">
        <v>64</v>
      </c>
      <c r="Z87" s="46" t="s">
        <v>207</v>
      </c>
      <c r="AA87" s="12" t="s">
        <v>208</v>
      </c>
      <c r="AB87" s="46">
        <v>131</v>
      </c>
      <c r="AD87" s="46" t="s">
        <v>157</v>
      </c>
      <c r="AE87" s="46">
        <v>0</v>
      </c>
    </row>
    <row r="88" spans="1:31" x14ac:dyDescent="0.25">
      <c r="A88" s="46" t="s">
        <v>57</v>
      </c>
      <c r="B88" s="46" t="s">
        <v>58</v>
      </c>
      <c r="C88" s="12" t="s">
        <v>199</v>
      </c>
      <c r="D88" s="46">
        <v>29051785</v>
      </c>
      <c r="E88" s="47">
        <v>45149</v>
      </c>
      <c r="F88" s="47">
        <v>45149</v>
      </c>
      <c r="G88" s="46">
        <v>1</v>
      </c>
      <c r="H88" s="47">
        <v>45247</v>
      </c>
      <c r="I88" s="47">
        <v>45259</v>
      </c>
      <c r="J88" s="46">
        <v>12</v>
      </c>
      <c r="K88" s="47">
        <v>45139</v>
      </c>
      <c r="L88" s="47">
        <v>45291</v>
      </c>
      <c r="M88" s="46" t="s">
        <v>209</v>
      </c>
      <c r="N88" s="12" t="s">
        <v>210</v>
      </c>
      <c r="O88" s="46" t="s">
        <v>61</v>
      </c>
      <c r="P88" s="46" t="s">
        <v>62</v>
      </c>
      <c r="Q88" s="49">
        <v>3448.55</v>
      </c>
      <c r="R88" s="46">
        <v>0</v>
      </c>
      <c r="S88" s="49">
        <v>2724.35</v>
      </c>
      <c r="T88" s="46">
        <v>724.2</v>
      </c>
      <c r="U88" s="48">
        <v>0.78990000000000005</v>
      </c>
      <c r="V88" s="46" t="s">
        <v>44</v>
      </c>
      <c r="W88" s="46">
        <v>223377484</v>
      </c>
      <c r="X88" s="46" t="s">
        <v>211</v>
      </c>
      <c r="Y88" s="46" t="s">
        <v>64</v>
      </c>
      <c r="Z88" s="46" t="s">
        <v>212</v>
      </c>
      <c r="AA88" s="12" t="s">
        <v>213</v>
      </c>
      <c r="AB88" s="46">
        <v>131</v>
      </c>
      <c r="AD88" s="46" t="s">
        <v>157</v>
      </c>
      <c r="AE88" s="46">
        <v>0</v>
      </c>
    </row>
    <row r="89" spans="1:31" x14ac:dyDescent="0.25">
      <c r="A89" s="46" t="s">
        <v>57</v>
      </c>
      <c r="B89" s="46" t="s">
        <v>58</v>
      </c>
      <c r="C89" s="12" t="s">
        <v>199</v>
      </c>
      <c r="D89" s="46">
        <v>28996289</v>
      </c>
      <c r="E89" s="47">
        <v>45152</v>
      </c>
      <c r="F89" s="47">
        <v>45152</v>
      </c>
      <c r="G89" s="46">
        <v>1</v>
      </c>
      <c r="H89" s="47">
        <v>45224</v>
      </c>
      <c r="I89" s="47">
        <v>45238</v>
      </c>
      <c r="J89" s="46">
        <v>14</v>
      </c>
      <c r="K89" s="47">
        <v>45139</v>
      </c>
      <c r="L89" s="47">
        <v>45291</v>
      </c>
      <c r="M89" s="46">
        <v>76805</v>
      </c>
      <c r="N89" s="12" t="s">
        <v>214</v>
      </c>
      <c r="O89" s="46" t="s">
        <v>215</v>
      </c>
      <c r="P89" s="46" t="s">
        <v>216</v>
      </c>
      <c r="Q89" s="46">
        <v>850</v>
      </c>
      <c r="R89" s="46">
        <v>0</v>
      </c>
      <c r="S89" s="46">
        <v>671.5</v>
      </c>
      <c r="T89" s="46">
        <v>178.5</v>
      </c>
      <c r="U89" s="48">
        <v>0.79</v>
      </c>
      <c r="V89" s="46" t="s">
        <v>44</v>
      </c>
      <c r="W89" s="46">
        <v>223339368</v>
      </c>
      <c r="X89" s="46" t="s">
        <v>217</v>
      </c>
      <c r="Y89" s="46" t="s">
        <v>64</v>
      </c>
      <c r="Z89" s="46" t="s">
        <v>218</v>
      </c>
      <c r="AA89" s="12" t="s">
        <v>219</v>
      </c>
      <c r="AB89" s="46">
        <v>131</v>
      </c>
      <c r="AD89" s="46" t="s">
        <v>157</v>
      </c>
      <c r="AE89" s="46">
        <v>0</v>
      </c>
    </row>
    <row r="90" spans="1:31" x14ac:dyDescent="0.25">
      <c r="A90" s="46" t="s">
        <v>57</v>
      </c>
      <c r="B90" s="46" t="s">
        <v>58</v>
      </c>
      <c r="C90" s="12" t="s">
        <v>199</v>
      </c>
      <c r="D90" s="46">
        <v>29914267</v>
      </c>
      <c r="E90" s="47">
        <v>45228</v>
      </c>
      <c r="F90" s="47">
        <v>45228</v>
      </c>
      <c r="G90" s="46">
        <v>1</v>
      </c>
      <c r="H90" s="47">
        <v>45239</v>
      </c>
      <c r="I90" s="47">
        <v>45252</v>
      </c>
      <c r="J90" s="46">
        <v>13</v>
      </c>
      <c r="K90" s="47">
        <v>45139</v>
      </c>
      <c r="L90" s="47">
        <v>45291</v>
      </c>
      <c r="M90" s="46" t="s">
        <v>209</v>
      </c>
      <c r="N90" s="12" t="s">
        <v>210</v>
      </c>
      <c r="O90" s="46" t="s">
        <v>61</v>
      </c>
      <c r="P90" s="46" t="s">
        <v>62</v>
      </c>
      <c r="Q90" s="49">
        <v>2100.85</v>
      </c>
      <c r="R90" s="46">
        <v>0</v>
      </c>
      <c r="S90" s="49">
        <v>1659.67</v>
      </c>
      <c r="T90" s="46">
        <v>441.18</v>
      </c>
      <c r="U90" s="48">
        <v>0.78990000000000005</v>
      </c>
      <c r="V90" s="46" t="s">
        <v>44</v>
      </c>
      <c r="W90" s="46">
        <v>223365273</v>
      </c>
      <c r="X90" s="46" t="s">
        <v>220</v>
      </c>
      <c r="Y90" s="46" t="s">
        <v>64</v>
      </c>
      <c r="Z90" s="46" t="s">
        <v>221</v>
      </c>
      <c r="AA90" s="12" t="s">
        <v>222</v>
      </c>
      <c r="AB90" s="46">
        <v>131</v>
      </c>
      <c r="AD90" s="46" t="s">
        <v>157</v>
      </c>
      <c r="AE90" s="46">
        <v>0</v>
      </c>
    </row>
    <row r="91" spans="1:31" x14ac:dyDescent="0.25">
      <c r="A91" s="46" t="s">
        <v>57</v>
      </c>
      <c r="B91" s="46" t="s">
        <v>58</v>
      </c>
      <c r="C91" s="12" t="s">
        <v>199</v>
      </c>
      <c r="D91" s="46">
        <v>29280568</v>
      </c>
      <c r="E91" s="47">
        <v>45172</v>
      </c>
      <c r="F91" s="47">
        <v>45172</v>
      </c>
      <c r="G91" s="46">
        <v>1</v>
      </c>
      <c r="H91" s="47">
        <v>45212</v>
      </c>
      <c r="I91" s="47">
        <v>45224</v>
      </c>
      <c r="J91" s="46">
        <v>12</v>
      </c>
      <c r="K91" s="47">
        <v>45139</v>
      </c>
      <c r="L91" s="47">
        <v>45291</v>
      </c>
      <c r="M91" s="46">
        <v>99283</v>
      </c>
      <c r="N91" s="12" t="s">
        <v>155</v>
      </c>
      <c r="O91" s="46" t="s">
        <v>61</v>
      </c>
      <c r="P91" s="46" t="s">
        <v>62</v>
      </c>
      <c r="Q91" s="49">
        <v>1495.8</v>
      </c>
      <c r="R91" s="46">
        <v>0</v>
      </c>
      <c r="S91" s="49">
        <v>1181.68</v>
      </c>
      <c r="T91" s="46">
        <v>314.12</v>
      </c>
      <c r="U91" s="48">
        <v>0.78990000000000005</v>
      </c>
      <c r="V91" s="46" t="s">
        <v>44</v>
      </c>
      <c r="W91" s="46">
        <v>223319459</v>
      </c>
      <c r="X91" s="46" t="s">
        <v>223</v>
      </c>
      <c r="Y91" s="46" t="s">
        <v>64</v>
      </c>
      <c r="Z91" s="46" t="s">
        <v>224</v>
      </c>
      <c r="AA91" s="12" t="s">
        <v>225</v>
      </c>
      <c r="AB91" s="46">
        <v>131</v>
      </c>
      <c r="AD91" s="46" t="s">
        <v>157</v>
      </c>
      <c r="AE91" s="46">
        <v>0</v>
      </c>
    </row>
    <row r="92" spans="1:31" x14ac:dyDescent="0.25">
      <c r="A92" s="46" t="s">
        <v>57</v>
      </c>
      <c r="B92" s="46" t="s">
        <v>58</v>
      </c>
      <c r="C92" s="12" t="s">
        <v>199</v>
      </c>
      <c r="D92" s="46">
        <v>29914019</v>
      </c>
      <c r="E92" s="47">
        <v>45228</v>
      </c>
      <c r="F92" s="47">
        <v>45228</v>
      </c>
      <c r="G92" s="46">
        <v>1</v>
      </c>
      <c r="H92" s="47">
        <v>45238</v>
      </c>
      <c r="I92" s="47">
        <v>45252</v>
      </c>
      <c r="J92" s="46">
        <v>14</v>
      </c>
      <c r="K92" s="47">
        <v>45139</v>
      </c>
      <c r="L92" s="47">
        <v>45291</v>
      </c>
      <c r="M92" s="46">
        <v>99282</v>
      </c>
      <c r="N92" s="12" t="s">
        <v>155</v>
      </c>
      <c r="O92" s="46" t="s">
        <v>61</v>
      </c>
      <c r="P92" s="46" t="s">
        <v>62</v>
      </c>
      <c r="Q92" s="46">
        <v>703.5</v>
      </c>
      <c r="R92" s="46">
        <v>0</v>
      </c>
      <c r="S92" s="46">
        <v>555.76</v>
      </c>
      <c r="T92" s="46">
        <v>147.74</v>
      </c>
      <c r="U92" s="48">
        <v>0.78990000000000005</v>
      </c>
      <c r="V92" s="46" t="s">
        <v>44</v>
      </c>
      <c r="W92" s="46">
        <v>223362926</v>
      </c>
      <c r="X92" s="46" t="s">
        <v>226</v>
      </c>
      <c r="Y92" s="46" t="s">
        <v>64</v>
      </c>
      <c r="Z92" s="46" t="s">
        <v>227</v>
      </c>
      <c r="AA92" s="12" t="s">
        <v>228</v>
      </c>
      <c r="AB92" s="46">
        <v>131</v>
      </c>
      <c r="AD92" s="46" t="s">
        <v>157</v>
      </c>
      <c r="AE92" s="46">
        <v>0</v>
      </c>
    </row>
    <row r="93" spans="1:31" x14ac:dyDescent="0.25">
      <c r="A93" s="46" t="s">
        <v>57</v>
      </c>
      <c r="B93" s="46" t="s">
        <v>58</v>
      </c>
      <c r="C93" s="12" t="s">
        <v>199</v>
      </c>
      <c r="D93" s="46">
        <v>30073480</v>
      </c>
      <c r="E93" s="47">
        <v>45240</v>
      </c>
      <c r="F93" s="47">
        <v>45241</v>
      </c>
      <c r="G93" s="46">
        <v>1</v>
      </c>
      <c r="H93" s="47">
        <v>45268</v>
      </c>
      <c r="I93" s="47">
        <v>45273</v>
      </c>
      <c r="J93" s="46">
        <v>5</v>
      </c>
      <c r="K93" s="47">
        <v>45139</v>
      </c>
      <c r="L93" s="47">
        <v>45291</v>
      </c>
      <c r="M93" s="46">
        <v>99281</v>
      </c>
      <c r="N93" s="12" t="s">
        <v>155</v>
      </c>
      <c r="O93" s="46" t="s">
        <v>61</v>
      </c>
      <c r="P93" s="46" t="s">
        <v>62</v>
      </c>
      <c r="Q93" s="46">
        <v>366.45</v>
      </c>
      <c r="R93" s="46">
        <v>0</v>
      </c>
      <c r="S93" s="46">
        <v>289.49</v>
      </c>
      <c r="T93" s="46">
        <v>76.959999999999994</v>
      </c>
      <c r="U93" s="48">
        <v>0.78990000000000005</v>
      </c>
      <c r="V93" s="46" t="s">
        <v>44</v>
      </c>
      <c r="W93" s="46">
        <v>223408181</v>
      </c>
      <c r="X93" s="46" t="s">
        <v>229</v>
      </c>
      <c r="Y93" s="46" t="s">
        <v>64</v>
      </c>
      <c r="Z93" s="46" t="s">
        <v>227</v>
      </c>
      <c r="AA93" s="12" t="s">
        <v>228</v>
      </c>
      <c r="AB93" s="46">
        <v>131</v>
      </c>
      <c r="AD93" s="46" t="s">
        <v>157</v>
      </c>
      <c r="AE93" s="46">
        <v>0</v>
      </c>
    </row>
    <row r="94" spans="1:31" x14ac:dyDescent="0.25">
      <c r="A94" s="46" t="s">
        <v>57</v>
      </c>
      <c r="B94" s="46" t="s">
        <v>58</v>
      </c>
      <c r="C94" s="12" t="s">
        <v>199</v>
      </c>
      <c r="D94" s="46">
        <v>29280477</v>
      </c>
      <c r="E94" s="47">
        <v>45173</v>
      </c>
      <c r="F94" s="47">
        <v>45173</v>
      </c>
      <c r="G94" s="46">
        <v>1</v>
      </c>
      <c r="H94" s="47">
        <v>45184</v>
      </c>
      <c r="I94" s="47">
        <v>45203</v>
      </c>
      <c r="J94" s="46">
        <v>19</v>
      </c>
      <c r="K94" s="47">
        <v>45139</v>
      </c>
      <c r="L94" s="47">
        <v>45291</v>
      </c>
      <c r="M94" s="46">
        <v>93005</v>
      </c>
      <c r="N94" s="12" t="s">
        <v>158</v>
      </c>
      <c r="O94" s="46" t="s">
        <v>61</v>
      </c>
      <c r="P94" s="46" t="s">
        <v>62</v>
      </c>
      <c r="Q94" s="49">
        <v>6998.85</v>
      </c>
      <c r="R94" s="46">
        <v>0</v>
      </c>
      <c r="S94" s="49">
        <v>5529.09</v>
      </c>
      <c r="T94" s="49">
        <v>1469.76</v>
      </c>
      <c r="U94" s="48">
        <v>0.78990000000000005</v>
      </c>
      <c r="V94" s="46" t="s">
        <v>44</v>
      </c>
      <c r="W94" s="46">
        <v>223287460</v>
      </c>
      <c r="X94" s="46">
        <v>91323222775649</v>
      </c>
      <c r="Y94" s="46" t="s">
        <v>64</v>
      </c>
      <c r="Z94" s="46" t="s">
        <v>230</v>
      </c>
      <c r="AA94" s="12" t="s">
        <v>231</v>
      </c>
      <c r="AB94" s="46">
        <v>131</v>
      </c>
      <c r="AD94" s="46" t="s">
        <v>157</v>
      </c>
      <c r="AE94" s="46">
        <v>0</v>
      </c>
    </row>
    <row r="95" spans="1:31" x14ac:dyDescent="0.25">
      <c r="A95" s="46" t="s">
        <v>57</v>
      </c>
      <c r="B95" s="46" t="s">
        <v>58</v>
      </c>
      <c r="C95" s="12" t="s">
        <v>199</v>
      </c>
      <c r="D95" s="46">
        <v>29051907</v>
      </c>
      <c r="E95" s="47">
        <v>45149</v>
      </c>
      <c r="F95" s="47">
        <v>45149</v>
      </c>
      <c r="G95" s="46">
        <v>1</v>
      </c>
      <c r="H95" s="47">
        <v>45246</v>
      </c>
      <c r="I95" s="47">
        <v>45259</v>
      </c>
      <c r="J95" s="46">
        <v>13</v>
      </c>
      <c r="K95" s="47">
        <v>45139</v>
      </c>
      <c r="L95" s="47">
        <v>45291</v>
      </c>
      <c r="M95" s="46">
        <v>99281</v>
      </c>
      <c r="N95" s="12" t="s">
        <v>155</v>
      </c>
      <c r="O95" s="46" t="s">
        <v>61</v>
      </c>
      <c r="P95" s="46" t="s">
        <v>62</v>
      </c>
      <c r="Q95" s="46">
        <v>366.45</v>
      </c>
      <c r="R95" s="46">
        <v>0</v>
      </c>
      <c r="S95" s="46">
        <v>289.49</v>
      </c>
      <c r="T95" s="46">
        <v>76.959999999999994</v>
      </c>
      <c r="U95" s="48">
        <v>0.78990000000000005</v>
      </c>
      <c r="V95" s="46" t="s">
        <v>44</v>
      </c>
      <c r="W95" s="46">
        <v>223375332</v>
      </c>
      <c r="X95" s="46" t="s">
        <v>232</v>
      </c>
      <c r="Y95" s="46" t="s">
        <v>64</v>
      </c>
      <c r="Z95" s="46" t="s">
        <v>227</v>
      </c>
      <c r="AA95" s="12" t="s">
        <v>228</v>
      </c>
      <c r="AB95" s="46">
        <v>131</v>
      </c>
      <c r="AD95" s="46" t="s">
        <v>157</v>
      </c>
      <c r="AE95" s="46">
        <v>0</v>
      </c>
    </row>
    <row r="96" spans="1:31" x14ac:dyDescent="0.25">
      <c r="A96" s="46" t="s">
        <v>57</v>
      </c>
      <c r="B96" s="46" t="s">
        <v>58</v>
      </c>
      <c r="C96" s="12" t="s">
        <v>199</v>
      </c>
      <c r="D96" s="46">
        <v>29508388</v>
      </c>
      <c r="E96" s="47">
        <v>45192</v>
      </c>
      <c r="F96" s="47">
        <v>45192</v>
      </c>
      <c r="G96" s="46">
        <v>1</v>
      </c>
      <c r="H96" s="47">
        <v>45204</v>
      </c>
      <c r="I96" s="47">
        <v>45224</v>
      </c>
      <c r="J96" s="46">
        <v>20</v>
      </c>
      <c r="K96" s="47">
        <v>45139</v>
      </c>
      <c r="L96" s="47">
        <v>45291</v>
      </c>
      <c r="M96" s="46">
        <v>93005</v>
      </c>
      <c r="N96" s="12" t="s">
        <v>158</v>
      </c>
      <c r="O96" s="46" t="s">
        <v>61</v>
      </c>
      <c r="P96" s="46" t="s">
        <v>62</v>
      </c>
      <c r="Q96" s="49">
        <v>2233.85</v>
      </c>
      <c r="R96" s="46">
        <v>0</v>
      </c>
      <c r="S96" s="49">
        <v>1764.74</v>
      </c>
      <c r="T96" s="46">
        <v>469.11</v>
      </c>
      <c r="U96" s="48">
        <v>0.78990000000000005</v>
      </c>
      <c r="V96" s="46" t="s">
        <v>44</v>
      </c>
      <c r="W96" s="46">
        <v>223309329</v>
      </c>
      <c r="X96" s="46" t="s">
        <v>233</v>
      </c>
      <c r="Y96" s="46" t="s">
        <v>64</v>
      </c>
      <c r="Z96" s="46" t="s">
        <v>234</v>
      </c>
      <c r="AA96" s="12" t="s">
        <v>235</v>
      </c>
      <c r="AB96" s="46">
        <v>131</v>
      </c>
      <c r="AD96" s="46" t="s">
        <v>157</v>
      </c>
      <c r="AE96" s="46">
        <v>0</v>
      </c>
    </row>
    <row r="97" spans="1:31" x14ac:dyDescent="0.25">
      <c r="A97" s="46" t="s">
        <v>57</v>
      </c>
      <c r="B97" s="46" t="s">
        <v>58</v>
      </c>
      <c r="C97" s="12" t="s">
        <v>199</v>
      </c>
      <c r="D97" s="46">
        <v>29457576</v>
      </c>
      <c r="E97" s="47">
        <v>45188</v>
      </c>
      <c r="F97" s="47">
        <v>45188</v>
      </c>
      <c r="G97" s="46">
        <v>1</v>
      </c>
      <c r="H97" s="47">
        <v>45224</v>
      </c>
      <c r="I97" s="47">
        <v>45238</v>
      </c>
      <c r="J97" s="46">
        <v>14</v>
      </c>
      <c r="K97" s="47">
        <v>45139</v>
      </c>
      <c r="L97" s="47">
        <v>45291</v>
      </c>
      <c r="M97" s="46" t="s">
        <v>236</v>
      </c>
      <c r="N97" s="12" t="s">
        <v>237</v>
      </c>
      <c r="O97" s="46" t="s">
        <v>61</v>
      </c>
      <c r="P97" s="46" t="s">
        <v>62</v>
      </c>
      <c r="Q97" s="49">
        <v>2879.35</v>
      </c>
      <c r="R97" s="46">
        <v>0</v>
      </c>
      <c r="S97" s="49">
        <v>2274.6799999999998</v>
      </c>
      <c r="T97" s="46">
        <v>604.66999999999996</v>
      </c>
      <c r="U97" s="48">
        <v>0.78990000000000005</v>
      </c>
      <c r="V97" s="46" t="s">
        <v>44</v>
      </c>
      <c r="W97" s="46">
        <v>223339450</v>
      </c>
      <c r="X97" s="46" t="s">
        <v>238</v>
      </c>
      <c r="Y97" s="46" t="s">
        <v>64</v>
      </c>
      <c r="Z97" s="46" t="s">
        <v>113</v>
      </c>
      <c r="AA97" s="12" t="s">
        <v>114</v>
      </c>
      <c r="AB97" s="46">
        <v>131</v>
      </c>
      <c r="AD97" s="46" t="s">
        <v>157</v>
      </c>
      <c r="AE97" s="46">
        <v>0</v>
      </c>
    </row>
    <row r="98" spans="1:31" x14ac:dyDescent="0.25">
      <c r="A98" s="46" t="s">
        <v>57</v>
      </c>
      <c r="B98" s="46" t="s">
        <v>58</v>
      </c>
      <c r="C98" s="12" t="s">
        <v>199</v>
      </c>
      <c r="D98" s="46">
        <v>29616920</v>
      </c>
      <c r="E98" s="47">
        <v>45202</v>
      </c>
      <c r="F98" s="47">
        <v>45202</v>
      </c>
      <c r="G98" s="46">
        <v>1</v>
      </c>
      <c r="H98" s="47">
        <v>45218</v>
      </c>
      <c r="I98" s="47">
        <v>45231</v>
      </c>
      <c r="J98" s="46">
        <v>13</v>
      </c>
      <c r="K98" s="47">
        <v>45139</v>
      </c>
      <c r="L98" s="47">
        <v>45291</v>
      </c>
      <c r="M98" s="46">
        <v>90715</v>
      </c>
      <c r="N98" s="12" t="s">
        <v>239</v>
      </c>
      <c r="O98" s="46" t="s">
        <v>61</v>
      </c>
      <c r="P98" s="46" t="s">
        <v>62</v>
      </c>
      <c r="Q98" s="49">
        <v>1181.75</v>
      </c>
      <c r="R98" s="46">
        <v>0</v>
      </c>
      <c r="S98" s="46">
        <v>933.58</v>
      </c>
      <c r="T98" s="46">
        <v>248.17</v>
      </c>
      <c r="U98" s="48">
        <v>0.78990000000000005</v>
      </c>
      <c r="V98" s="46" t="s">
        <v>44</v>
      </c>
      <c r="W98" s="46">
        <v>223331525</v>
      </c>
      <c r="X98" s="46" t="s">
        <v>240</v>
      </c>
      <c r="Y98" s="46" t="s">
        <v>64</v>
      </c>
      <c r="Z98" s="46" t="s">
        <v>241</v>
      </c>
      <c r="AA98" s="12" t="s">
        <v>242</v>
      </c>
      <c r="AB98" s="46">
        <v>131</v>
      </c>
      <c r="AD98" s="46" t="s">
        <v>157</v>
      </c>
      <c r="AE98" s="46">
        <v>0</v>
      </c>
    </row>
    <row r="99" spans="1:31" x14ac:dyDescent="0.25">
      <c r="A99" s="46" t="s">
        <v>57</v>
      </c>
      <c r="B99" s="46" t="s">
        <v>58</v>
      </c>
      <c r="C99" s="12" t="s">
        <v>199</v>
      </c>
      <c r="D99" s="46">
        <v>29566528</v>
      </c>
      <c r="E99" s="47">
        <v>45198</v>
      </c>
      <c r="F99" s="47">
        <v>45198</v>
      </c>
      <c r="G99" s="46">
        <v>1</v>
      </c>
      <c r="H99" s="47">
        <v>45224</v>
      </c>
      <c r="I99" s="47">
        <v>45238</v>
      </c>
      <c r="J99" s="46">
        <v>14</v>
      </c>
      <c r="K99" s="47">
        <v>45139</v>
      </c>
      <c r="L99" s="47">
        <v>45291</v>
      </c>
      <c r="M99" s="46" t="s">
        <v>209</v>
      </c>
      <c r="N99" s="12" t="s">
        <v>210</v>
      </c>
      <c r="O99" s="46" t="s">
        <v>61</v>
      </c>
      <c r="P99" s="46" t="s">
        <v>62</v>
      </c>
      <c r="Q99" s="49">
        <v>7876.3</v>
      </c>
      <c r="R99" s="46">
        <v>0</v>
      </c>
      <c r="S99" s="49">
        <v>6222.27</v>
      </c>
      <c r="T99" s="49">
        <v>1654.03</v>
      </c>
      <c r="U99" s="48">
        <v>0.78990000000000005</v>
      </c>
      <c r="V99" s="46" t="s">
        <v>44</v>
      </c>
      <c r="W99" s="46">
        <v>223339433</v>
      </c>
      <c r="X99" s="46" t="s">
        <v>243</v>
      </c>
      <c r="Y99" s="46" t="s">
        <v>64</v>
      </c>
      <c r="Z99" s="46" t="s">
        <v>244</v>
      </c>
      <c r="AA99" s="12" t="s">
        <v>245</v>
      </c>
      <c r="AB99" s="46">
        <v>131</v>
      </c>
      <c r="AD99" s="46" t="s">
        <v>157</v>
      </c>
      <c r="AE99" s="46">
        <v>0</v>
      </c>
    </row>
    <row r="100" spans="1:31" x14ac:dyDescent="0.25">
      <c r="A100" s="46" t="s">
        <v>57</v>
      </c>
      <c r="B100" s="46" t="s">
        <v>58</v>
      </c>
      <c r="C100" s="12" t="s">
        <v>199</v>
      </c>
      <c r="D100" s="46">
        <v>29280654</v>
      </c>
      <c r="E100" s="47">
        <v>45171</v>
      </c>
      <c r="F100" s="47">
        <v>45171</v>
      </c>
      <c r="G100" s="46">
        <v>1</v>
      </c>
      <c r="H100" s="47">
        <v>45182</v>
      </c>
      <c r="I100" s="47">
        <v>45203</v>
      </c>
      <c r="J100" s="46">
        <v>21</v>
      </c>
      <c r="K100" s="47">
        <v>45139</v>
      </c>
      <c r="L100" s="47">
        <v>45291</v>
      </c>
      <c r="M100" s="46">
        <v>99282</v>
      </c>
      <c r="N100" s="12" t="s">
        <v>155</v>
      </c>
      <c r="O100" s="46" t="s">
        <v>61</v>
      </c>
      <c r="P100" s="46" t="s">
        <v>62</v>
      </c>
      <c r="Q100" s="46">
        <v>703.5</v>
      </c>
      <c r="R100" s="46">
        <v>0</v>
      </c>
      <c r="S100" s="46">
        <v>555.76</v>
      </c>
      <c r="T100" s="46">
        <v>147.74</v>
      </c>
      <c r="U100" s="48">
        <v>0.78990000000000005</v>
      </c>
      <c r="V100" s="46" t="s">
        <v>44</v>
      </c>
      <c r="W100" s="46">
        <v>223282986</v>
      </c>
      <c r="X100" s="46">
        <v>91123212835532</v>
      </c>
      <c r="Y100" s="46" t="s">
        <v>64</v>
      </c>
      <c r="Z100" s="46" t="s">
        <v>207</v>
      </c>
      <c r="AA100" s="12" t="s">
        <v>208</v>
      </c>
      <c r="AB100" s="46">
        <v>131</v>
      </c>
      <c r="AD100" s="46" t="s">
        <v>157</v>
      </c>
      <c r="AE100" s="46">
        <v>0</v>
      </c>
    </row>
    <row r="101" spans="1:31" x14ac:dyDescent="0.25">
      <c r="A101" s="46" t="s">
        <v>57</v>
      </c>
      <c r="B101" s="46" t="s">
        <v>58</v>
      </c>
      <c r="C101" s="12" t="s">
        <v>199</v>
      </c>
      <c r="D101" s="46">
        <v>29645065</v>
      </c>
      <c r="E101" s="47">
        <v>45163</v>
      </c>
      <c r="F101" s="47">
        <v>45164</v>
      </c>
      <c r="G101" s="46">
        <v>1</v>
      </c>
      <c r="H101" s="47">
        <v>45224</v>
      </c>
      <c r="I101" s="47">
        <v>45238</v>
      </c>
      <c r="J101" s="46">
        <v>14</v>
      </c>
      <c r="K101" s="47">
        <v>45139</v>
      </c>
      <c r="L101" s="47">
        <v>45291</v>
      </c>
      <c r="N101" s="12"/>
      <c r="O101" s="46" t="s">
        <v>61</v>
      </c>
      <c r="P101" s="46" t="s">
        <v>62</v>
      </c>
      <c r="Q101" s="49">
        <v>6023.52</v>
      </c>
      <c r="R101" s="46">
        <v>0</v>
      </c>
      <c r="S101" s="49">
        <v>4758.58</v>
      </c>
      <c r="T101" s="49">
        <v>1264.94</v>
      </c>
      <c r="U101" s="48">
        <v>0.78990000000000005</v>
      </c>
      <c r="V101" s="46" t="s">
        <v>44</v>
      </c>
      <c r="W101" s="46">
        <v>223339461</v>
      </c>
      <c r="X101" s="46" t="s">
        <v>246</v>
      </c>
      <c r="Y101" s="46" t="s">
        <v>64</v>
      </c>
      <c r="Z101" s="46" t="s">
        <v>247</v>
      </c>
      <c r="AA101" s="12" t="s">
        <v>248</v>
      </c>
      <c r="AB101" s="46">
        <v>131</v>
      </c>
      <c r="AD101" s="46" t="s">
        <v>157</v>
      </c>
      <c r="AE101" s="46">
        <v>0</v>
      </c>
    </row>
    <row r="102" spans="1:31" x14ac:dyDescent="0.25">
      <c r="A102" s="46" t="s">
        <v>57</v>
      </c>
      <c r="B102" s="46" t="s">
        <v>58</v>
      </c>
      <c r="C102" s="12" t="s">
        <v>199</v>
      </c>
      <c r="D102" s="46">
        <v>30108410</v>
      </c>
      <c r="E102" s="47">
        <v>45245</v>
      </c>
      <c r="F102" s="47">
        <v>45245</v>
      </c>
      <c r="G102" s="46">
        <v>1</v>
      </c>
      <c r="H102" s="47">
        <v>45260</v>
      </c>
      <c r="I102" s="47">
        <v>45266</v>
      </c>
      <c r="J102" s="46">
        <v>6</v>
      </c>
      <c r="K102" s="47">
        <v>45139</v>
      </c>
      <c r="L102" s="47">
        <v>45291</v>
      </c>
      <c r="M102" s="46">
        <v>96374</v>
      </c>
      <c r="N102" s="12" t="s">
        <v>249</v>
      </c>
      <c r="O102" s="46" t="s">
        <v>61</v>
      </c>
      <c r="P102" s="46" t="s">
        <v>62</v>
      </c>
      <c r="Q102" s="49">
        <v>2790.65</v>
      </c>
      <c r="R102" s="46">
        <v>0</v>
      </c>
      <c r="S102" s="49">
        <v>2204.61</v>
      </c>
      <c r="T102" s="46">
        <v>586.04</v>
      </c>
      <c r="U102" s="48">
        <v>0.78990000000000005</v>
      </c>
      <c r="V102" s="46" t="s">
        <v>44</v>
      </c>
      <c r="W102" s="46">
        <v>223396209</v>
      </c>
      <c r="X102" s="46" t="s">
        <v>250</v>
      </c>
      <c r="Y102" s="46" t="s">
        <v>64</v>
      </c>
      <c r="Z102" s="46" t="s">
        <v>251</v>
      </c>
      <c r="AA102" s="12" t="s">
        <v>252</v>
      </c>
      <c r="AB102" s="46">
        <v>131</v>
      </c>
      <c r="AD102" s="46" t="s">
        <v>157</v>
      </c>
      <c r="AE102" s="46">
        <v>0</v>
      </c>
    </row>
    <row r="103" spans="1:31" x14ac:dyDescent="0.25">
      <c r="A103" s="46" t="s">
        <v>57</v>
      </c>
      <c r="B103" s="46" t="s">
        <v>58</v>
      </c>
      <c r="C103" s="12" t="s">
        <v>199</v>
      </c>
      <c r="D103" s="46">
        <v>29695997</v>
      </c>
      <c r="E103" s="47">
        <v>45210</v>
      </c>
      <c r="F103" s="47">
        <v>45215</v>
      </c>
      <c r="G103" s="46">
        <v>5</v>
      </c>
      <c r="H103" s="47">
        <v>45237</v>
      </c>
      <c r="I103" s="47">
        <v>45259</v>
      </c>
      <c r="J103" s="46">
        <v>22</v>
      </c>
      <c r="K103" s="47">
        <v>45139</v>
      </c>
      <c r="L103" s="47">
        <v>45291</v>
      </c>
      <c r="N103" s="12"/>
      <c r="O103" s="46" t="s">
        <v>61</v>
      </c>
      <c r="P103" s="46" t="s">
        <v>62</v>
      </c>
      <c r="Q103" s="49">
        <v>9620</v>
      </c>
      <c r="R103" s="46">
        <v>0</v>
      </c>
      <c r="S103" s="49">
        <v>5964.4</v>
      </c>
      <c r="T103" s="49">
        <v>3655.6</v>
      </c>
      <c r="U103" s="48">
        <v>0.62</v>
      </c>
      <c r="V103" s="46" t="s">
        <v>44</v>
      </c>
      <c r="W103" s="46">
        <v>223360946</v>
      </c>
      <c r="X103" s="46" t="s">
        <v>253</v>
      </c>
      <c r="Y103" s="46" t="s">
        <v>64</v>
      </c>
      <c r="Z103" s="46" t="s">
        <v>254</v>
      </c>
      <c r="AA103" s="12" t="s">
        <v>255</v>
      </c>
      <c r="AB103" s="46">
        <v>111</v>
      </c>
      <c r="AC103" s="46">
        <v>871</v>
      </c>
      <c r="AD103" s="46" t="s">
        <v>157</v>
      </c>
      <c r="AE103" s="46">
        <v>0</v>
      </c>
    </row>
    <row r="104" spans="1:31" x14ac:dyDescent="0.25">
      <c r="A104" s="46" t="s">
        <v>57</v>
      </c>
      <c r="B104" s="46" t="s">
        <v>58</v>
      </c>
      <c r="C104" s="12" t="s">
        <v>199</v>
      </c>
      <c r="D104" s="46">
        <v>29695997</v>
      </c>
      <c r="E104" s="47">
        <v>45210</v>
      </c>
      <c r="F104" s="47">
        <v>45215</v>
      </c>
      <c r="G104" s="46">
        <v>5</v>
      </c>
      <c r="H104" s="47">
        <v>45237</v>
      </c>
      <c r="I104" s="47">
        <v>45259</v>
      </c>
      <c r="J104" s="46">
        <v>22</v>
      </c>
      <c r="K104" s="47">
        <v>45139</v>
      </c>
      <c r="L104" s="47">
        <v>45291</v>
      </c>
      <c r="N104" s="12"/>
      <c r="O104" s="46" t="s">
        <v>61</v>
      </c>
      <c r="P104" s="46" t="s">
        <v>62</v>
      </c>
      <c r="Q104" s="49">
        <v>80563.12</v>
      </c>
      <c r="R104" s="46">
        <v>0</v>
      </c>
      <c r="S104" s="49">
        <v>49949.13</v>
      </c>
      <c r="T104" s="49">
        <v>30613.99</v>
      </c>
      <c r="U104" s="48">
        <v>0.61990000000000001</v>
      </c>
      <c r="V104" s="46" t="s">
        <v>44</v>
      </c>
      <c r="W104" s="46">
        <v>223360946</v>
      </c>
      <c r="X104" s="46" t="s">
        <v>253</v>
      </c>
      <c r="Y104" s="46" t="s">
        <v>64</v>
      </c>
      <c r="Z104" s="46" t="s">
        <v>254</v>
      </c>
      <c r="AA104" s="12" t="s">
        <v>255</v>
      </c>
      <c r="AB104" s="46">
        <v>111</v>
      </c>
      <c r="AC104" s="46">
        <v>871</v>
      </c>
      <c r="AD104" s="46" t="s">
        <v>157</v>
      </c>
      <c r="AE104" s="46">
        <v>0</v>
      </c>
    </row>
    <row r="105" spans="1:31" x14ac:dyDescent="0.25">
      <c r="A105" s="46" t="s">
        <v>57</v>
      </c>
      <c r="B105" s="46" t="s">
        <v>58</v>
      </c>
      <c r="C105" s="12" t="s">
        <v>199</v>
      </c>
      <c r="D105" s="46">
        <v>29640788</v>
      </c>
      <c r="E105" s="47">
        <v>45158</v>
      </c>
      <c r="F105" s="47">
        <v>45158</v>
      </c>
      <c r="G105" s="46">
        <v>1</v>
      </c>
      <c r="H105" s="47">
        <v>45225</v>
      </c>
      <c r="I105" s="47">
        <v>45238</v>
      </c>
      <c r="J105" s="46">
        <v>13</v>
      </c>
      <c r="K105" s="47">
        <v>45139</v>
      </c>
      <c r="L105" s="47">
        <v>45291</v>
      </c>
      <c r="M105" s="46">
        <v>93005</v>
      </c>
      <c r="N105" s="12" t="s">
        <v>158</v>
      </c>
      <c r="O105" s="46" t="s">
        <v>61</v>
      </c>
      <c r="P105" s="46" t="s">
        <v>62</v>
      </c>
      <c r="Q105" s="49">
        <v>8401.25</v>
      </c>
      <c r="R105" s="46">
        <v>0</v>
      </c>
      <c r="S105" s="49">
        <v>6636.98</v>
      </c>
      <c r="T105" s="49">
        <v>1764.27</v>
      </c>
      <c r="U105" s="48">
        <v>0.78990000000000005</v>
      </c>
      <c r="V105" s="46" t="s">
        <v>44</v>
      </c>
      <c r="W105" s="46">
        <v>223340173</v>
      </c>
      <c r="X105" s="46" t="s">
        <v>256</v>
      </c>
      <c r="Y105" s="46" t="s">
        <v>64</v>
      </c>
      <c r="Z105" s="46" t="s">
        <v>257</v>
      </c>
      <c r="AA105" s="12" t="s">
        <v>258</v>
      </c>
      <c r="AB105" s="46">
        <v>131</v>
      </c>
      <c r="AD105" s="46" t="s">
        <v>157</v>
      </c>
      <c r="AE105" s="46">
        <v>0</v>
      </c>
    </row>
    <row r="106" spans="1:31" x14ac:dyDescent="0.25">
      <c r="A106" s="46" t="s">
        <v>57</v>
      </c>
      <c r="B106" s="46" t="s">
        <v>58</v>
      </c>
      <c r="C106" s="12" t="s">
        <v>199</v>
      </c>
      <c r="D106" s="46">
        <v>28979760</v>
      </c>
      <c r="E106" s="47">
        <v>45141</v>
      </c>
      <c r="F106" s="47">
        <v>45141</v>
      </c>
      <c r="G106" s="46">
        <v>1</v>
      </c>
      <c r="H106" s="47">
        <v>45182</v>
      </c>
      <c r="I106" s="47">
        <v>45203</v>
      </c>
      <c r="J106" s="46">
        <v>21</v>
      </c>
      <c r="K106" s="47">
        <v>45139</v>
      </c>
      <c r="L106" s="47">
        <v>45291</v>
      </c>
      <c r="M106" s="46">
        <v>93005</v>
      </c>
      <c r="N106" s="12" t="s">
        <v>158</v>
      </c>
      <c r="O106" s="46" t="s">
        <v>61</v>
      </c>
      <c r="P106" s="46" t="s">
        <v>62</v>
      </c>
      <c r="Q106" s="49">
        <v>10121.799999999999</v>
      </c>
      <c r="R106" s="46">
        <v>0</v>
      </c>
      <c r="S106" s="49">
        <v>7996.22</v>
      </c>
      <c r="T106" s="49">
        <v>2125.58</v>
      </c>
      <c r="U106" s="48">
        <v>0.78990000000000005</v>
      </c>
      <c r="V106" s="46" t="s">
        <v>44</v>
      </c>
      <c r="W106" s="46">
        <v>223282816</v>
      </c>
      <c r="X106" s="46">
        <v>90723201369213</v>
      </c>
      <c r="Y106" s="46" t="s">
        <v>64</v>
      </c>
      <c r="Z106" s="46" t="s">
        <v>259</v>
      </c>
      <c r="AA106" s="12" t="s">
        <v>260</v>
      </c>
      <c r="AB106" s="46">
        <v>131</v>
      </c>
      <c r="AD106" s="46" t="s">
        <v>157</v>
      </c>
      <c r="AE106" s="46">
        <v>0</v>
      </c>
    </row>
    <row r="107" spans="1:31" x14ac:dyDescent="0.25">
      <c r="A107" s="46" t="s">
        <v>57</v>
      </c>
      <c r="B107" s="46" t="s">
        <v>58</v>
      </c>
      <c r="C107" s="12" t="s">
        <v>199</v>
      </c>
      <c r="D107" s="46">
        <v>28987420</v>
      </c>
      <c r="E107" s="47">
        <v>45145</v>
      </c>
      <c r="F107" s="47">
        <v>45146</v>
      </c>
      <c r="G107" s="46">
        <v>1</v>
      </c>
      <c r="H107" s="47">
        <v>45224</v>
      </c>
      <c r="I107" s="47">
        <v>45238</v>
      </c>
      <c r="J107" s="46">
        <v>14</v>
      </c>
      <c r="K107" s="47">
        <v>45139</v>
      </c>
      <c r="L107" s="47">
        <v>45291</v>
      </c>
      <c r="M107" s="46">
        <v>36600</v>
      </c>
      <c r="N107" s="12" t="s">
        <v>261</v>
      </c>
      <c r="O107" s="46" t="s">
        <v>61</v>
      </c>
      <c r="P107" s="46" t="s">
        <v>62</v>
      </c>
      <c r="Q107" s="49">
        <v>10369.89</v>
      </c>
      <c r="R107" s="46">
        <v>0</v>
      </c>
      <c r="S107" s="49">
        <v>8192.2099999999991</v>
      </c>
      <c r="T107" s="49">
        <v>2177.6799999999998</v>
      </c>
      <c r="U107" s="48">
        <v>0.78990000000000005</v>
      </c>
      <c r="V107" s="46" t="s">
        <v>44</v>
      </c>
      <c r="W107" s="46">
        <v>223339555</v>
      </c>
      <c r="X107" s="46" t="s">
        <v>262</v>
      </c>
      <c r="Y107" s="46" t="s">
        <v>64</v>
      </c>
      <c r="Z107" s="46" t="s">
        <v>263</v>
      </c>
      <c r="AA107" s="12"/>
      <c r="AB107" s="46">
        <v>131</v>
      </c>
      <c r="AD107" s="46" t="s">
        <v>157</v>
      </c>
      <c r="AE107" s="46">
        <v>0</v>
      </c>
    </row>
    <row r="108" spans="1:31" x14ac:dyDescent="0.25">
      <c r="A108" s="46" t="s">
        <v>57</v>
      </c>
      <c r="B108" s="46" t="s">
        <v>58</v>
      </c>
      <c r="C108" s="12" t="s">
        <v>199</v>
      </c>
      <c r="D108" s="46">
        <v>28963579</v>
      </c>
      <c r="E108" s="47">
        <v>45145</v>
      </c>
      <c r="F108" s="47">
        <v>45145</v>
      </c>
      <c r="G108" s="46">
        <v>1</v>
      </c>
      <c r="H108" s="47">
        <v>45224</v>
      </c>
      <c r="I108" s="47">
        <v>45238</v>
      </c>
      <c r="J108" s="46">
        <v>14</v>
      </c>
      <c r="K108" s="47">
        <v>45139</v>
      </c>
      <c r="L108" s="47">
        <v>45291</v>
      </c>
      <c r="M108" s="46">
        <v>76830</v>
      </c>
      <c r="N108" s="12" t="s">
        <v>264</v>
      </c>
      <c r="O108" s="46" t="s">
        <v>215</v>
      </c>
      <c r="P108" s="46" t="s">
        <v>216</v>
      </c>
      <c r="Q108" s="46">
        <v>850</v>
      </c>
      <c r="R108" s="46">
        <v>0</v>
      </c>
      <c r="S108" s="46">
        <v>671.5</v>
      </c>
      <c r="T108" s="46">
        <v>178.5</v>
      </c>
      <c r="U108" s="48">
        <v>0.79</v>
      </c>
      <c r="V108" s="46" t="s">
        <v>44</v>
      </c>
      <c r="W108" s="46">
        <v>223339469</v>
      </c>
      <c r="X108" s="46" t="s">
        <v>265</v>
      </c>
      <c r="Y108" s="46" t="s">
        <v>64</v>
      </c>
      <c r="Z108" s="46" t="s">
        <v>266</v>
      </c>
      <c r="AA108" s="12" t="s">
        <v>267</v>
      </c>
      <c r="AB108" s="46">
        <v>131</v>
      </c>
      <c r="AD108" s="46" t="s">
        <v>157</v>
      </c>
      <c r="AE108" s="46">
        <v>0</v>
      </c>
    </row>
    <row r="109" spans="1:31" x14ac:dyDescent="0.25">
      <c r="A109" s="46" t="s">
        <v>57</v>
      </c>
      <c r="B109" s="46" t="s">
        <v>58</v>
      </c>
      <c r="C109" s="12" t="s">
        <v>199</v>
      </c>
      <c r="D109" s="46">
        <v>29689757</v>
      </c>
      <c r="E109" s="47">
        <v>45209</v>
      </c>
      <c r="F109" s="47">
        <v>45209</v>
      </c>
      <c r="G109" s="46">
        <v>1</v>
      </c>
      <c r="H109" s="47">
        <v>45229</v>
      </c>
      <c r="I109" s="47">
        <v>45238</v>
      </c>
      <c r="J109" s="46">
        <v>9</v>
      </c>
      <c r="K109" s="47">
        <v>45139</v>
      </c>
      <c r="L109" s="47">
        <v>45291</v>
      </c>
      <c r="M109" s="46" t="s">
        <v>209</v>
      </c>
      <c r="N109" s="12" t="s">
        <v>210</v>
      </c>
      <c r="O109" s="46" t="s">
        <v>61</v>
      </c>
      <c r="P109" s="46" t="s">
        <v>62</v>
      </c>
      <c r="Q109" s="49">
        <v>3768.85</v>
      </c>
      <c r="R109" s="46">
        <v>0</v>
      </c>
      <c r="S109" s="49">
        <v>2977.39</v>
      </c>
      <c r="T109" s="46">
        <v>791.46</v>
      </c>
      <c r="U109" s="48">
        <v>0.78990000000000005</v>
      </c>
      <c r="V109" s="46" t="s">
        <v>44</v>
      </c>
      <c r="W109" s="46">
        <v>223346894</v>
      </c>
      <c r="X109" s="46" t="s">
        <v>268</v>
      </c>
      <c r="Y109" s="46" t="s">
        <v>64</v>
      </c>
      <c r="Z109" s="46" t="s">
        <v>269</v>
      </c>
      <c r="AA109" s="12" t="s">
        <v>270</v>
      </c>
      <c r="AB109" s="46">
        <v>131</v>
      </c>
      <c r="AD109" s="46" t="s">
        <v>157</v>
      </c>
      <c r="AE109" s="46">
        <v>0</v>
      </c>
    </row>
    <row r="110" spans="1:31" x14ac:dyDescent="0.25">
      <c r="A110" s="46" t="s">
        <v>57</v>
      </c>
      <c r="B110" s="46" t="s">
        <v>58</v>
      </c>
      <c r="C110" s="12" t="s">
        <v>199</v>
      </c>
      <c r="D110" s="46">
        <v>29522101</v>
      </c>
      <c r="E110" s="47">
        <v>45194</v>
      </c>
      <c r="F110" s="47">
        <v>45194</v>
      </c>
      <c r="G110" s="46">
        <v>1</v>
      </c>
      <c r="H110" s="47">
        <v>45216</v>
      </c>
      <c r="I110" s="47">
        <v>45231</v>
      </c>
      <c r="J110" s="46">
        <v>15</v>
      </c>
      <c r="K110" s="47">
        <v>45139</v>
      </c>
      <c r="L110" s="47">
        <v>45291</v>
      </c>
      <c r="M110" s="46">
        <v>99283</v>
      </c>
      <c r="N110" s="12" t="s">
        <v>155</v>
      </c>
      <c r="O110" s="46" t="s">
        <v>61</v>
      </c>
      <c r="P110" s="46" t="s">
        <v>62</v>
      </c>
      <c r="Q110" s="49">
        <v>1498.5</v>
      </c>
      <c r="R110" s="46">
        <v>0</v>
      </c>
      <c r="S110" s="49">
        <v>1183.81</v>
      </c>
      <c r="T110" s="46">
        <v>314.69</v>
      </c>
      <c r="U110" s="48">
        <v>0.78990000000000005</v>
      </c>
      <c r="V110" s="46" t="s">
        <v>44</v>
      </c>
      <c r="W110" s="46">
        <v>223326459</v>
      </c>
      <c r="X110" s="46" t="s">
        <v>271</v>
      </c>
      <c r="Y110" s="46" t="s">
        <v>64</v>
      </c>
      <c r="Z110" s="46" t="s">
        <v>207</v>
      </c>
      <c r="AA110" s="12" t="s">
        <v>208</v>
      </c>
      <c r="AB110" s="46">
        <v>131</v>
      </c>
      <c r="AD110" s="46" t="s">
        <v>157</v>
      </c>
      <c r="AE110" s="46">
        <v>0</v>
      </c>
    </row>
    <row r="111" spans="1:31" x14ac:dyDescent="0.25">
      <c r="A111" s="46" t="s">
        <v>57</v>
      </c>
      <c r="B111" s="46" t="s">
        <v>58</v>
      </c>
      <c r="C111" s="12" t="s">
        <v>199</v>
      </c>
      <c r="D111" s="46">
        <v>29042551</v>
      </c>
      <c r="E111" s="47">
        <v>45152</v>
      </c>
      <c r="F111" s="47">
        <v>45156</v>
      </c>
      <c r="G111" s="46">
        <v>4</v>
      </c>
      <c r="H111" s="47">
        <v>45224</v>
      </c>
      <c r="I111" s="47">
        <v>45245</v>
      </c>
      <c r="J111" s="46">
        <v>21</v>
      </c>
      <c r="K111" s="47">
        <v>45139</v>
      </c>
      <c r="L111" s="47">
        <v>45291</v>
      </c>
      <c r="N111" s="12"/>
      <c r="O111" s="46" t="s">
        <v>61</v>
      </c>
      <c r="P111" s="46" t="s">
        <v>62</v>
      </c>
      <c r="Q111" s="49">
        <v>7072</v>
      </c>
      <c r="R111" s="46">
        <v>0</v>
      </c>
      <c r="S111" s="49">
        <v>4388.72</v>
      </c>
      <c r="T111" s="49">
        <v>2683.28</v>
      </c>
      <c r="U111" s="48">
        <v>0.62050000000000005</v>
      </c>
      <c r="V111" s="46" t="s">
        <v>44</v>
      </c>
      <c r="W111" s="46">
        <v>223339494</v>
      </c>
      <c r="X111" s="46" t="s">
        <v>272</v>
      </c>
      <c r="Y111" s="46" t="s">
        <v>64</v>
      </c>
      <c r="Z111" s="46" t="s">
        <v>273</v>
      </c>
      <c r="AA111" s="12" t="s">
        <v>274</v>
      </c>
      <c r="AB111" s="46">
        <v>111</v>
      </c>
      <c r="AC111" s="46">
        <v>315</v>
      </c>
      <c r="AD111" s="46" t="s">
        <v>157</v>
      </c>
      <c r="AE111" s="46">
        <v>0</v>
      </c>
    </row>
    <row r="112" spans="1:31" x14ac:dyDescent="0.25">
      <c r="A112" s="46" t="s">
        <v>57</v>
      </c>
      <c r="B112" s="46" t="s">
        <v>58</v>
      </c>
      <c r="C112" s="12" t="s">
        <v>199</v>
      </c>
      <c r="D112" s="46">
        <v>29042551</v>
      </c>
      <c r="E112" s="47">
        <v>45152</v>
      </c>
      <c r="F112" s="47">
        <v>45156</v>
      </c>
      <c r="G112" s="46">
        <v>4</v>
      </c>
      <c r="H112" s="47">
        <v>45224</v>
      </c>
      <c r="I112" s="47">
        <v>45245</v>
      </c>
      <c r="J112" s="46">
        <v>21</v>
      </c>
      <c r="K112" s="47">
        <v>45139</v>
      </c>
      <c r="L112" s="47">
        <v>45291</v>
      </c>
      <c r="N112" s="12"/>
      <c r="O112" s="46" t="s">
        <v>61</v>
      </c>
      <c r="P112" s="46" t="s">
        <v>62</v>
      </c>
      <c r="Q112" s="49">
        <v>22522.18</v>
      </c>
      <c r="R112" s="46">
        <v>0</v>
      </c>
      <c r="S112" s="49">
        <v>13976.77</v>
      </c>
      <c r="T112" s="49">
        <v>8545.41</v>
      </c>
      <c r="U112" s="48">
        <v>0.62050000000000005</v>
      </c>
      <c r="V112" s="46" t="s">
        <v>44</v>
      </c>
      <c r="W112" s="46">
        <v>223339494</v>
      </c>
      <c r="X112" s="46" t="s">
        <v>272</v>
      </c>
      <c r="Y112" s="46" t="s">
        <v>64</v>
      </c>
      <c r="Z112" s="46" t="s">
        <v>273</v>
      </c>
      <c r="AA112" s="12" t="s">
        <v>274</v>
      </c>
      <c r="AB112" s="46">
        <v>111</v>
      </c>
      <c r="AC112" s="46">
        <v>315</v>
      </c>
      <c r="AD112" s="46" t="s">
        <v>157</v>
      </c>
      <c r="AE112" s="46">
        <v>0</v>
      </c>
    </row>
    <row r="113" spans="1:31" x14ac:dyDescent="0.25">
      <c r="A113" s="46" t="s">
        <v>57</v>
      </c>
      <c r="B113" s="46" t="s">
        <v>58</v>
      </c>
      <c r="C113" s="12" t="s">
        <v>199</v>
      </c>
      <c r="D113" s="46">
        <v>29386242</v>
      </c>
      <c r="E113" s="47">
        <v>45182</v>
      </c>
      <c r="F113" s="47">
        <v>45182</v>
      </c>
      <c r="G113" s="46">
        <v>1</v>
      </c>
      <c r="H113" s="47">
        <v>45232</v>
      </c>
      <c r="I113" s="47">
        <v>45245</v>
      </c>
      <c r="J113" s="46">
        <v>13</v>
      </c>
      <c r="K113" s="47">
        <v>45139</v>
      </c>
      <c r="L113" s="47">
        <v>45291</v>
      </c>
      <c r="M113" s="46">
        <v>99282</v>
      </c>
      <c r="N113" s="12" t="s">
        <v>155</v>
      </c>
      <c r="O113" s="46" t="s">
        <v>61</v>
      </c>
      <c r="P113" s="46" t="s">
        <v>121</v>
      </c>
      <c r="Q113" s="46">
        <v>703.5</v>
      </c>
      <c r="R113" s="46">
        <v>0</v>
      </c>
      <c r="S113" s="46">
        <v>555.76</v>
      </c>
      <c r="T113" s="46">
        <v>147.74</v>
      </c>
      <c r="U113" s="48">
        <v>0.78990000000000005</v>
      </c>
      <c r="V113" s="46" t="s">
        <v>44</v>
      </c>
      <c r="W113" s="46">
        <v>223354129</v>
      </c>
      <c r="X113" s="46" t="s">
        <v>275</v>
      </c>
      <c r="Y113" s="46" t="s">
        <v>64</v>
      </c>
      <c r="Z113" s="46" t="s">
        <v>276</v>
      </c>
      <c r="AA113" s="12" t="s">
        <v>277</v>
      </c>
      <c r="AB113" s="46">
        <v>131</v>
      </c>
      <c r="AD113" s="46" t="s">
        <v>157</v>
      </c>
      <c r="AE113" s="46">
        <v>0</v>
      </c>
    </row>
    <row r="114" spans="1:31" x14ac:dyDescent="0.25">
      <c r="A114" s="46" t="s">
        <v>57</v>
      </c>
      <c r="B114" s="46" t="s">
        <v>58</v>
      </c>
      <c r="C114" s="12" t="s">
        <v>199</v>
      </c>
      <c r="D114" s="46">
        <v>29386242</v>
      </c>
      <c r="E114" s="47">
        <v>45182</v>
      </c>
      <c r="F114" s="47">
        <v>45182</v>
      </c>
      <c r="G114" s="46">
        <v>1</v>
      </c>
      <c r="H114" s="47">
        <v>45246</v>
      </c>
      <c r="I114" s="47">
        <v>45252</v>
      </c>
      <c r="J114" s="46">
        <v>6</v>
      </c>
      <c r="K114" s="47">
        <v>45139</v>
      </c>
      <c r="L114" s="47">
        <v>45291</v>
      </c>
      <c r="M114" s="46">
        <v>99282</v>
      </c>
      <c r="N114" s="12" t="s">
        <v>155</v>
      </c>
      <c r="O114" s="46" t="s">
        <v>61</v>
      </c>
      <c r="P114" s="46" t="s">
        <v>121</v>
      </c>
      <c r="Q114" s="46">
        <v>703.5</v>
      </c>
      <c r="R114" s="46">
        <v>703.5</v>
      </c>
      <c r="S114" s="46">
        <v>0</v>
      </c>
      <c r="T114" s="46">
        <v>0</v>
      </c>
      <c r="U114" s="48">
        <v>0</v>
      </c>
      <c r="V114" s="46" t="s">
        <v>44</v>
      </c>
      <c r="W114" s="46">
        <v>223375318</v>
      </c>
      <c r="X114" s="46" t="s">
        <v>278</v>
      </c>
      <c r="Y114" s="46" t="s">
        <v>64</v>
      </c>
      <c r="Z114" s="46" t="s">
        <v>276</v>
      </c>
      <c r="AA114" s="12" t="s">
        <v>277</v>
      </c>
      <c r="AB114" s="46">
        <v>131</v>
      </c>
      <c r="AD114" s="46" t="s">
        <v>157</v>
      </c>
      <c r="AE114" s="46">
        <v>0</v>
      </c>
    </row>
    <row r="115" spans="1:31" x14ac:dyDescent="0.25">
      <c r="A115" s="46" t="s">
        <v>57</v>
      </c>
      <c r="B115" s="46" t="s">
        <v>58</v>
      </c>
      <c r="C115" s="12" t="s">
        <v>199</v>
      </c>
      <c r="D115" s="46">
        <v>29696972</v>
      </c>
      <c r="E115" s="47">
        <v>45210</v>
      </c>
      <c r="F115" s="47">
        <v>45210</v>
      </c>
      <c r="G115" s="46">
        <v>1</v>
      </c>
      <c r="H115" s="47">
        <v>45230</v>
      </c>
      <c r="I115" s="47">
        <v>45245</v>
      </c>
      <c r="J115" s="46">
        <v>15</v>
      </c>
      <c r="K115" s="47">
        <v>45139</v>
      </c>
      <c r="L115" s="47">
        <v>45291</v>
      </c>
      <c r="M115" s="46">
        <v>99281</v>
      </c>
      <c r="N115" s="12" t="s">
        <v>155</v>
      </c>
      <c r="O115" s="46" t="s">
        <v>61</v>
      </c>
      <c r="P115" s="46" t="s">
        <v>62</v>
      </c>
      <c r="Q115" s="46">
        <v>366.45</v>
      </c>
      <c r="R115" s="46">
        <v>0</v>
      </c>
      <c r="S115" s="46">
        <v>289.49</v>
      </c>
      <c r="T115" s="46">
        <v>76.959999999999994</v>
      </c>
      <c r="U115" s="48">
        <v>0.78990000000000005</v>
      </c>
      <c r="V115" s="46" t="s">
        <v>44</v>
      </c>
      <c r="W115" s="46">
        <v>223348960</v>
      </c>
      <c r="X115" s="46" t="s">
        <v>279</v>
      </c>
      <c r="Y115" s="46" t="s">
        <v>64</v>
      </c>
      <c r="Z115" s="46" t="s">
        <v>227</v>
      </c>
      <c r="AA115" s="12" t="s">
        <v>228</v>
      </c>
      <c r="AB115" s="46">
        <v>131</v>
      </c>
      <c r="AD115" s="46" t="s">
        <v>157</v>
      </c>
      <c r="AE115" s="46">
        <v>0</v>
      </c>
    </row>
    <row r="116" spans="1:31" x14ac:dyDescent="0.25">
      <c r="A116" s="46" t="s">
        <v>57</v>
      </c>
      <c r="B116" s="46" t="s">
        <v>58</v>
      </c>
      <c r="C116" s="12" t="s">
        <v>199</v>
      </c>
      <c r="D116" s="46">
        <v>29280268</v>
      </c>
      <c r="E116" s="47">
        <v>45172</v>
      </c>
      <c r="F116" s="47">
        <v>45172</v>
      </c>
      <c r="G116" s="46">
        <v>1</v>
      </c>
      <c r="H116" s="47">
        <v>45184</v>
      </c>
      <c r="I116" s="47">
        <v>45252</v>
      </c>
      <c r="J116" s="46">
        <v>68</v>
      </c>
      <c r="K116" s="47">
        <v>45139</v>
      </c>
      <c r="L116" s="47">
        <v>45291</v>
      </c>
      <c r="M116" s="46">
        <v>99282</v>
      </c>
      <c r="N116" s="12" t="s">
        <v>155</v>
      </c>
      <c r="O116" s="46" t="s">
        <v>61</v>
      </c>
      <c r="P116" s="46" t="s">
        <v>62</v>
      </c>
      <c r="Q116" s="46">
        <v>738.5</v>
      </c>
      <c r="R116" s="46">
        <v>0</v>
      </c>
      <c r="S116" s="46">
        <v>583.41</v>
      </c>
      <c r="T116" s="46">
        <v>155.09</v>
      </c>
      <c r="U116" s="48">
        <v>0.78990000000000005</v>
      </c>
      <c r="V116" s="46" t="s">
        <v>44</v>
      </c>
      <c r="W116" s="46">
        <v>223287462</v>
      </c>
      <c r="X116" s="46">
        <v>91323222775650</v>
      </c>
      <c r="Y116" s="46" t="s">
        <v>64</v>
      </c>
      <c r="Z116" s="46" t="s">
        <v>207</v>
      </c>
      <c r="AA116" s="12" t="s">
        <v>208</v>
      </c>
      <c r="AB116" s="46">
        <v>131</v>
      </c>
      <c r="AD116" s="46" t="s">
        <v>157</v>
      </c>
      <c r="AE116" s="46">
        <v>0</v>
      </c>
    </row>
    <row r="117" spans="1:31" x14ac:dyDescent="0.25">
      <c r="A117" s="46" t="s">
        <v>57</v>
      </c>
      <c r="B117" s="46" t="s">
        <v>58</v>
      </c>
      <c r="C117" s="12" t="s">
        <v>199</v>
      </c>
      <c r="D117" s="46">
        <v>29014037</v>
      </c>
      <c r="E117" s="47">
        <v>45148</v>
      </c>
      <c r="F117" s="47">
        <v>45148</v>
      </c>
      <c r="G117" s="46">
        <v>1</v>
      </c>
      <c r="H117" s="47">
        <v>45188</v>
      </c>
      <c r="I117" s="47">
        <v>45203</v>
      </c>
      <c r="J117" s="46">
        <v>15</v>
      </c>
      <c r="K117" s="47">
        <v>45139</v>
      </c>
      <c r="L117" s="47">
        <v>45291</v>
      </c>
      <c r="M117" s="46">
        <v>99281</v>
      </c>
      <c r="N117" s="12" t="s">
        <v>155</v>
      </c>
      <c r="O117" s="46" t="s">
        <v>61</v>
      </c>
      <c r="P117" s="46" t="s">
        <v>62</v>
      </c>
      <c r="Q117" s="46">
        <v>366.45</v>
      </c>
      <c r="R117" s="46">
        <v>0</v>
      </c>
      <c r="S117" s="46">
        <v>289.49</v>
      </c>
      <c r="T117" s="46">
        <v>76.959999999999994</v>
      </c>
      <c r="U117" s="48">
        <v>0.78990000000000005</v>
      </c>
      <c r="V117" s="46" t="s">
        <v>44</v>
      </c>
      <c r="W117" s="46">
        <v>223291108</v>
      </c>
      <c r="X117" s="46" t="s">
        <v>280</v>
      </c>
      <c r="Y117" s="46" t="s">
        <v>64</v>
      </c>
      <c r="Z117" s="46" t="s">
        <v>227</v>
      </c>
      <c r="AA117" s="12" t="s">
        <v>228</v>
      </c>
      <c r="AB117" s="46">
        <v>131</v>
      </c>
      <c r="AD117" s="46" t="s">
        <v>157</v>
      </c>
      <c r="AE117" s="46">
        <v>0</v>
      </c>
    </row>
    <row r="118" spans="1:31" x14ac:dyDescent="0.25">
      <c r="A118" s="46" t="s">
        <v>57</v>
      </c>
      <c r="B118" s="46" t="s">
        <v>58</v>
      </c>
      <c r="C118" s="12" t="s">
        <v>199</v>
      </c>
      <c r="D118" s="46">
        <v>29914829</v>
      </c>
      <c r="E118" s="47">
        <v>45226</v>
      </c>
      <c r="F118" s="47">
        <v>45226</v>
      </c>
      <c r="G118" s="46">
        <v>1</v>
      </c>
      <c r="H118" s="47">
        <v>45247</v>
      </c>
      <c r="I118" s="47">
        <v>45259</v>
      </c>
      <c r="J118" s="46">
        <v>12</v>
      </c>
      <c r="K118" s="47">
        <v>45139</v>
      </c>
      <c r="L118" s="47">
        <v>45291</v>
      </c>
      <c r="M118" s="46">
        <v>93005</v>
      </c>
      <c r="N118" s="12" t="s">
        <v>158</v>
      </c>
      <c r="O118" s="46" t="s">
        <v>61</v>
      </c>
      <c r="P118" s="46" t="s">
        <v>62</v>
      </c>
      <c r="Q118" s="49">
        <v>3114.6</v>
      </c>
      <c r="R118" s="46">
        <v>0</v>
      </c>
      <c r="S118" s="49">
        <v>2460.5300000000002</v>
      </c>
      <c r="T118" s="46">
        <v>654.07000000000005</v>
      </c>
      <c r="U118" s="48">
        <v>0.78990000000000005</v>
      </c>
      <c r="V118" s="46" t="s">
        <v>44</v>
      </c>
      <c r="W118" s="46">
        <v>223377413</v>
      </c>
      <c r="X118" s="46" t="s">
        <v>281</v>
      </c>
      <c r="Y118" s="46" t="s">
        <v>64</v>
      </c>
      <c r="Z118" s="46" t="s">
        <v>113</v>
      </c>
      <c r="AA118" s="12" t="s">
        <v>114</v>
      </c>
      <c r="AB118" s="46">
        <v>131</v>
      </c>
      <c r="AD118" s="46" t="s">
        <v>157</v>
      </c>
      <c r="AE118" s="46">
        <v>0</v>
      </c>
    </row>
    <row r="119" spans="1:31" x14ac:dyDescent="0.25">
      <c r="A119" s="46" t="s">
        <v>57</v>
      </c>
      <c r="B119" s="46" t="s">
        <v>58</v>
      </c>
      <c r="C119" s="12" t="s">
        <v>199</v>
      </c>
      <c r="D119" s="46">
        <v>29280112</v>
      </c>
      <c r="E119" s="47">
        <v>45171</v>
      </c>
      <c r="F119" s="47">
        <v>45172</v>
      </c>
      <c r="G119" s="46">
        <v>1</v>
      </c>
      <c r="H119" s="47">
        <v>45183</v>
      </c>
      <c r="I119" s="47">
        <v>45203</v>
      </c>
      <c r="J119" s="46">
        <v>20</v>
      </c>
      <c r="K119" s="47">
        <v>45139</v>
      </c>
      <c r="L119" s="47">
        <v>45291</v>
      </c>
      <c r="M119" s="46">
        <v>70450</v>
      </c>
      <c r="N119" s="12" t="s">
        <v>119</v>
      </c>
      <c r="O119" s="46" t="s">
        <v>61</v>
      </c>
      <c r="P119" s="46" t="s">
        <v>62</v>
      </c>
      <c r="Q119" s="49">
        <v>5631.4</v>
      </c>
      <c r="R119" s="46">
        <v>0</v>
      </c>
      <c r="S119" s="49">
        <v>4448.8</v>
      </c>
      <c r="T119" s="49">
        <v>1182.5999999999999</v>
      </c>
      <c r="U119" s="48">
        <v>0.78990000000000005</v>
      </c>
      <c r="V119" s="46" t="s">
        <v>44</v>
      </c>
      <c r="W119" s="46">
        <v>223285542</v>
      </c>
      <c r="X119" s="46">
        <v>91223217793279</v>
      </c>
      <c r="Y119" s="46" t="s">
        <v>64</v>
      </c>
      <c r="Z119" s="46" t="s">
        <v>203</v>
      </c>
      <c r="AA119" s="12" t="s">
        <v>204</v>
      </c>
      <c r="AB119" s="46">
        <v>131</v>
      </c>
      <c r="AD119" s="46" t="s">
        <v>157</v>
      </c>
      <c r="AE119" s="46">
        <v>0</v>
      </c>
    </row>
    <row r="120" spans="1:31" x14ac:dyDescent="0.25">
      <c r="A120" s="46" t="s">
        <v>57</v>
      </c>
      <c r="B120" s="46" t="s">
        <v>58</v>
      </c>
      <c r="C120" s="12" t="s">
        <v>199</v>
      </c>
      <c r="D120" s="46">
        <v>29280112</v>
      </c>
      <c r="E120" s="47">
        <v>45171</v>
      </c>
      <c r="F120" s="47">
        <v>45172</v>
      </c>
      <c r="G120" s="46">
        <v>1</v>
      </c>
      <c r="H120" s="47">
        <v>45225</v>
      </c>
      <c r="I120" s="47">
        <v>45238</v>
      </c>
      <c r="J120" s="46">
        <v>13</v>
      </c>
      <c r="K120" s="47">
        <v>45139</v>
      </c>
      <c r="L120" s="47">
        <v>45291</v>
      </c>
      <c r="M120" s="46">
        <v>70450</v>
      </c>
      <c r="N120" s="12" t="s">
        <v>119</v>
      </c>
      <c r="O120" s="46" t="s">
        <v>61</v>
      </c>
      <c r="P120" s="46" t="s">
        <v>62</v>
      </c>
      <c r="Q120" s="49">
        <v>5631.4</v>
      </c>
      <c r="R120" s="49">
        <v>5631.4</v>
      </c>
      <c r="S120" s="46">
        <v>0</v>
      </c>
      <c r="T120" s="46">
        <v>0</v>
      </c>
      <c r="U120" s="48">
        <v>0</v>
      </c>
      <c r="V120" s="46" t="s">
        <v>44</v>
      </c>
      <c r="W120" s="46">
        <v>223340160</v>
      </c>
      <c r="X120" s="46" t="s">
        <v>282</v>
      </c>
      <c r="Y120" s="46" t="s">
        <v>64</v>
      </c>
      <c r="Z120" s="46" t="s">
        <v>203</v>
      </c>
      <c r="AA120" s="12" t="s">
        <v>204</v>
      </c>
      <c r="AB120" s="46">
        <v>131</v>
      </c>
      <c r="AD120" s="46" t="s">
        <v>157</v>
      </c>
      <c r="AE120" s="46">
        <v>0</v>
      </c>
    </row>
    <row r="121" spans="1:31" x14ac:dyDescent="0.25">
      <c r="A121" s="46" t="s">
        <v>57</v>
      </c>
      <c r="B121" s="46" t="s">
        <v>58</v>
      </c>
      <c r="C121" s="12" t="s">
        <v>199</v>
      </c>
      <c r="D121" s="46">
        <v>29164049</v>
      </c>
      <c r="E121" s="47">
        <v>45161</v>
      </c>
      <c r="F121" s="47">
        <v>45162</v>
      </c>
      <c r="G121" s="46">
        <v>1</v>
      </c>
      <c r="H121" s="47">
        <v>45224</v>
      </c>
      <c r="I121" s="47">
        <v>45238</v>
      </c>
      <c r="J121" s="46">
        <v>14</v>
      </c>
      <c r="K121" s="47">
        <v>45139</v>
      </c>
      <c r="L121" s="47">
        <v>45291</v>
      </c>
      <c r="N121" s="12"/>
      <c r="O121" s="46" t="s">
        <v>61</v>
      </c>
      <c r="P121" s="46" t="s">
        <v>62</v>
      </c>
      <c r="Q121" s="49">
        <v>5000.8999999999996</v>
      </c>
      <c r="R121" s="46">
        <v>0</v>
      </c>
      <c r="S121" s="49">
        <v>3950.71</v>
      </c>
      <c r="T121" s="49">
        <v>1050.19</v>
      </c>
      <c r="U121" s="48">
        <v>0.78990000000000005</v>
      </c>
      <c r="V121" s="46" t="s">
        <v>44</v>
      </c>
      <c r="W121" s="46">
        <v>223339532</v>
      </c>
      <c r="X121" s="46" t="s">
        <v>283</v>
      </c>
      <c r="Y121" s="46" t="s">
        <v>64</v>
      </c>
      <c r="Z121" s="46" t="s">
        <v>284</v>
      </c>
      <c r="AA121" s="12" t="s">
        <v>285</v>
      </c>
      <c r="AB121" s="46">
        <v>131</v>
      </c>
      <c r="AD121" s="46" t="s">
        <v>157</v>
      </c>
      <c r="AE121" s="46">
        <v>0</v>
      </c>
    </row>
    <row r="122" spans="1:31" x14ac:dyDescent="0.25">
      <c r="A122" s="46" t="s">
        <v>57</v>
      </c>
      <c r="B122" s="46" t="s">
        <v>58</v>
      </c>
      <c r="C122" s="12" t="s">
        <v>199</v>
      </c>
      <c r="D122" s="46">
        <v>29241234</v>
      </c>
      <c r="E122" s="47">
        <v>45169</v>
      </c>
      <c r="F122" s="47">
        <v>45171</v>
      </c>
      <c r="G122" s="46">
        <v>2</v>
      </c>
      <c r="H122" s="47">
        <v>45182</v>
      </c>
      <c r="I122" s="47">
        <v>45209</v>
      </c>
      <c r="J122" s="46">
        <v>27</v>
      </c>
      <c r="K122" s="47">
        <v>45139</v>
      </c>
      <c r="L122" s="47">
        <v>45291</v>
      </c>
      <c r="M122" s="46">
        <v>80053</v>
      </c>
      <c r="N122" s="12" t="s">
        <v>166</v>
      </c>
      <c r="O122" s="46" t="s">
        <v>61</v>
      </c>
      <c r="P122" s="46" t="s">
        <v>62</v>
      </c>
      <c r="Q122" s="49">
        <v>26234.799999999999</v>
      </c>
      <c r="R122" s="46">
        <v>0</v>
      </c>
      <c r="S122" s="49">
        <v>20725.490000000002</v>
      </c>
      <c r="T122" s="49">
        <v>5509.31</v>
      </c>
      <c r="U122" s="48">
        <v>0.78990000000000005</v>
      </c>
      <c r="V122" s="46" t="s">
        <v>44</v>
      </c>
      <c r="W122" s="46">
        <v>223282987</v>
      </c>
      <c r="X122" s="46">
        <v>91123212835533</v>
      </c>
      <c r="Y122" s="46" t="s">
        <v>64</v>
      </c>
      <c r="Z122" s="46" t="s">
        <v>65</v>
      </c>
      <c r="AA122" s="12" t="s">
        <v>66</v>
      </c>
      <c r="AB122" s="46">
        <v>131</v>
      </c>
      <c r="AD122" s="46" t="s">
        <v>157</v>
      </c>
      <c r="AE122" s="46">
        <v>0</v>
      </c>
    </row>
    <row r="123" spans="1:31" x14ac:dyDescent="0.25">
      <c r="A123" s="46" t="s">
        <v>57</v>
      </c>
      <c r="B123" s="46" t="s">
        <v>58</v>
      </c>
      <c r="C123" s="12" t="s">
        <v>199</v>
      </c>
      <c r="D123" s="46">
        <v>29951930</v>
      </c>
      <c r="E123" s="47">
        <v>45231</v>
      </c>
      <c r="F123" s="47">
        <v>45233</v>
      </c>
      <c r="G123" s="46">
        <v>2</v>
      </c>
      <c r="H123" s="47">
        <v>45253</v>
      </c>
      <c r="I123" s="47">
        <v>45273</v>
      </c>
      <c r="J123" s="46">
        <v>20</v>
      </c>
      <c r="K123" s="47">
        <v>45139</v>
      </c>
      <c r="L123" s="47">
        <v>45291</v>
      </c>
      <c r="N123" s="12"/>
      <c r="O123" s="46" t="s">
        <v>61</v>
      </c>
      <c r="P123" s="46" t="s">
        <v>62</v>
      </c>
      <c r="Q123" s="49">
        <v>3848</v>
      </c>
      <c r="R123" s="46">
        <v>0</v>
      </c>
      <c r="S123" s="49">
        <v>2385.7600000000002</v>
      </c>
      <c r="T123" s="49">
        <v>1462.24</v>
      </c>
      <c r="U123" s="48">
        <v>0.62</v>
      </c>
      <c r="V123" s="46" t="s">
        <v>44</v>
      </c>
      <c r="W123" s="46">
        <v>223386758</v>
      </c>
      <c r="X123" s="46" t="s">
        <v>286</v>
      </c>
      <c r="Y123" s="46" t="s">
        <v>64</v>
      </c>
      <c r="Z123" s="46" t="s">
        <v>287</v>
      </c>
      <c r="AA123" s="12" t="s">
        <v>288</v>
      </c>
      <c r="AB123" s="46">
        <v>111</v>
      </c>
      <c r="AC123" s="46">
        <v>639</v>
      </c>
      <c r="AD123" s="46" t="s">
        <v>157</v>
      </c>
      <c r="AE123" s="46">
        <v>0</v>
      </c>
    </row>
    <row r="124" spans="1:31" x14ac:dyDescent="0.25">
      <c r="A124" s="46" t="s">
        <v>57</v>
      </c>
      <c r="B124" s="46" t="s">
        <v>58</v>
      </c>
      <c r="C124" s="12" t="s">
        <v>199</v>
      </c>
      <c r="D124" s="46">
        <v>29951930</v>
      </c>
      <c r="E124" s="47">
        <v>45231</v>
      </c>
      <c r="F124" s="47">
        <v>45233</v>
      </c>
      <c r="G124" s="46">
        <v>2</v>
      </c>
      <c r="H124" s="47">
        <v>45253</v>
      </c>
      <c r="I124" s="47">
        <v>45273</v>
      </c>
      <c r="J124" s="46">
        <v>20</v>
      </c>
      <c r="K124" s="47">
        <v>45139</v>
      </c>
      <c r="L124" s="47">
        <v>45291</v>
      </c>
      <c r="N124" s="12"/>
      <c r="O124" s="46" t="s">
        <v>61</v>
      </c>
      <c r="P124" s="46" t="s">
        <v>62</v>
      </c>
      <c r="Q124" s="49">
        <v>18471.45</v>
      </c>
      <c r="R124" s="46">
        <v>0</v>
      </c>
      <c r="S124" s="49">
        <v>11452.29</v>
      </c>
      <c r="T124" s="49">
        <v>7019.16</v>
      </c>
      <c r="U124" s="48">
        <v>0.61990000000000001</v>
      </c>
      <c r="V124" s="46" t="s">
        <v>44</v>
      </c>
      <c r="W124" s="46">
        <v>223386758</v>
      </c>
      <c r="X124" s="46" t="s">
        <v>286</v>
      </c>
      <c r="Y124" s="46" t="s">
        <v>64</v>
      </c>
      <c r="Z124" s="46" t="s">
        <v>287</v>
      </c>
      <c r="AA124" s="12" t="s">
        <v>288</v>
      </c>
      <c r="AB124" s="46">
        <v>111</v>
      </c>
      <c r="AC124" s="46">
        <v>639</v>
      </c>
      <c r="AD124" s="46" t="s">
        <v>157</v>
      </c>
      <c r="AE124" s="46">
        <v>0</v>
      </c>
    </row>
    <row r="125" spans="1:31" x14ac:dyDescent="0.25">
      <c r="A125" s="46" t="s">
        <v>57</v>
      </c>
      <c r="B125" s="46" t="s">
        <v>58</v>
      </c>
      <c r="C125" s="12" t="s">
        <v>199</v>
      </c>
      <c r="D125" s="46">
        <v>29435948</v>
      </c>
      <c r="E125" s="47">
        <v>45189</v>
      </c>
      <c r="F125" s="47">
        <v>45189</v>
      </c>
      <c r="G125" s="46">
        <v>1</v>
      </c>
      <c r="H125" s="47">
        <v>45247</v>
      </c>
      <c r="I125" s="47">
        <v>45259</v>
      </c>
      <c r="J125" s="46">
        <v>12</v>
      </c>
      <c r="K125" s="47">
        <v>45139</v>
      </c>
      <c r="L125" s="47">
        <v>45291</v>
      </c>
      <c r="M125" s="46">
        <v>70470</v>
      </c>
      <c r="N125" s="12" t="s">
        <v>289</v>
      </c>
      <c r="O125" s="46" t="s">
        <v>215</v>
      </c>
      <c r="P125" s="46" t="s">
        <v>290</v>
      </c>
      <c r="Q125" s="49">
        <v>2543</v>
      </c>
      <c r="R125" s="46">
        <v>0</v>
      </c>
      <c r="S125" s="49">
        <v>2008.97</v>
      </c>
      <c r="T125" s="46">
        <v>534.03</v>
      </c>
      <c r="U125" s="48">
        <v>0.79</v>
      </c>
      <c r="V125" s="46" t="s">
        <v>44</v>
      </c>
      <c r="W125" s="46">
        <v>223377656</v>
      </c>
      <c r="X125" s="46" t="s">
        <v>291</v>
      </c>
      <c r="Y125" s="46" t="s">
        <v>64</v>
      </c>
      <c r="Z125" s="46" t="s">
        <v>292</v>
      </c>
      <c r="AA125" s="12" t="s">
        <v>293</v>
      </c>
      <c r="AB125" s="46">
        <v>131</v>
      </c>
      <c r="AD125" s="46" t="s">
        <v>157</v>
      </c>
      <c r="AE125" s="46">
        <v>0</v>
      </c>
    </row>
    <row r="126" spans="1:31" x14ac:dyDescent="0.25">
      <c r="A126" s="46" t="s">
        <v>57</v>
      </c>
      <c r="B126" s="46" t="s">
        <v>58</v>
      </c>
      <c r="C126" s="12" t="s">
        <v>199</v>
      </c>
      <c r="D126" s="46">
        <v>29174222</v>
      </c>
      <c r="E126" s="47">
        <v>45162</v>
      </c>
      <c r="F126" s="47">
        <v>45163</v>
      </c>
      <c r="G126" s="46">
        <v>1</v>
      </c>
      <c r="H126" s="47">
        <v>45225</v>
      </c>
      <c r="I126" s="47">
        <v>45238</v>
      </c>
      <c r="J126" s="46">
        <v>13</v>
      </c>
      <c r="K126" s="47">
        <v>45139</v>
      </c>
      <c r="L126" s="47">
        <v>45291</v>
      </c>
      <c r="M126" s="46">
        <v>83605</v>
      </c>
      <c r="N126" s="12" t="s">
        <v>170</v>
      </c>
      <c r="O126" s="46" t="s">
        <v>61</v>
      </c>
      <c r="P126" s="46" t="s">
        <v>62</v>
      </c>
      <c r="Q126" s="49">
        <v>8814.7000000000007</v>
      </c>
      <c r="R126" s="46">
        <v>0</v>
      </c>
      <c r="S126" s="49">
        <v>6963.61</v>
      </c>
      <c r="T126" s="49">
        <v>1851.09</v>
      </c>
      <c r="U126" s="48">
        <v>0.78990000000000005</v>
      </c>
      <c r="V126" s="46" t="s">
        <v>44</v>
      </c>
      <c r="W126" s="46">
        <v>223340145</v>
      </c>
      <c r="X126" s="46" t="s">
        <v>294</v>
      </c>
      <c r="Y126" s="46" t="s">
        <v>64</v>
      </c>
      <c r="Z126" s="46" t="s">
        <v>295</v>
      </c>
      <c r="AA126" s="12" t="s">
        <v>296</v>
      </c>
      <c r="AB126" s="46">
        <v>131</v>
      </c>
      <c r="AD126" s="46" t="s">
        <v>157</v>
      </c>
      <c r="AE126" s="46">
        <v>0</v>
      </c>
    </row>
    <row r="127" spans="1:31" x14ac:dyDescent="0.25">
      <c r="A127" s="46" t="s">
        <v>57</v>
      </c>
      <c r="B127" s="46" t="s">
        <v>58</v>
      </c>
      <c r="C127" s="12" t="s">
        <v>199</v>
      </c>
      <c r="D127" s="46">
        <v>29198314</v>
      </c>
      <c r="E127" s="47">
        <v>45163</v>
      </c>
      <c r="F127" s="47">
        <v>45168</v>
      </c>
      <c r="G127" s="46">
        <v>5</v>
      </c>
      <c r="H127" s="47">
        <v>45226</v>
      </c>
      <c r="I127" s="47">
        <v>45245</v>
      </c>
      <c r="J127" s="46">
        <v>19</v>
      </c>
      <c r="K127" s="47">
        <v>45139</v>
      </c>
      <c r="L127" s="47">
        <v>45291</v>
      </c>
      <c r="N127" s="12"/>
      <c r="O127" s="46" t="s">
        <v>61</v>
      </c>
      <c r="P127" s="46" t="s">
        <v>62</v>
      </c>
      <c r="Q127" s="49">
        <v>9620</v>
      </c>
      <c r="R127" s="46">
        <v>0</v>
      </c>
      <c r="S127" s="49">
        <v>5964.4</v>
      </c>
      <c r="T127" s="49">
        <v>3655.6</v>
      </c>
      <c r="U127" s="48">
        <v>0.62</v>
      </c>
      <c r="V127" s="46" t="s">
        <v>44</v>
      </c>
      <c r="W127" s="46">
        <v>223344810</v>
      </c>
      <c r="X127" s="46" t="s">
        <v>297</v>
      </c>
      <c r="Y127" s="46" t="s">
        <v>64</v>
      </c>
      <c r="Z127" s="46" t="s">
        <v>298</v>
      </c>
      <c r="AA127" s="12" t="s">
        <v>299</v>
      </c>
      <c r="AB127" s="46">
        <v>111</v>
      </c>
      <c r="AC127" s="46">
        <v>101</v>
      </c>
      <c r="AD127" s="46" t="s">
        <v>157</v>
      </c>
      <c r="AE127" s="46">
        <v>0</v>
      </c>
    </row>
    <row r="128" spans="1:31" x14ac:dyDescent="0.25">
      <c r="A128" s="46" t="s">
        <v>57</v>
      </c>
      <c r="B128" s="46" t="s">
        <v>58</v>
      </c>
      <c r="C128" s="12" t="s">
        <v>199</v>
      </c>
      <c r="D128" s="46">
        <v>29198314</v>
      </c>
      <c r="E128" s="47">
        <v>45163</v>
      </c>
      <c r="F128" s="47">
        <v>45168</v>
      </c>
      <c r="G128" s="46">
        <v>5</v>
      </c>
      <c r="H128" s="47">
        <v>45226</v>
      </c>
      <c r="I128" s="47">
        <v>45245</v>
      </c>
      <c r="J128" s="46">
        <v>19</v>
      </c>
      <c r="K128" s="47">
        <v>45139</v>
      </c>
      <c r="L128" s="47">
        <v>45291</v>
      </c>
      <c r="N128" s="12"/>
      <c r="O128" s="46" t="s">
        <v>61</v>
      </c>
      <c r="P128" s="46" t="s">
        <v>62</v>
      </c>
      <c r="Q128" s="49">
        <v>17534.5</v>
      </c>
      <c r="R128" s="46">
        <v>0</v>
      </c>
      <c r="S128" s="49">
        <v>10871.38</v>
      </c>
      <c r="T128" s="49">
        <v>6663.12</v>
      </c>
      <c r="U128" s="48">
        <v>0.61990000000000001</v>
      </c>
      <c r="V128" s="46" t="s">
        <v>44</v>
      </c>
      <c r="W128" s="46">
        <v>223344810</v>
      </c>
      <c r="X128" s="46" t="s">
        <v>297</v>
      </c>
      <c r="Y128" s="46" t="s">
        <v>64</v>
      </c>
      <c r="Z128" s="46" t="s">
        <v>298</v>
      </c>
      <c r="AA128" s="12" t="s">
        <v>299</v>
      </c>
      <c r="AB128" s="46">
        <v>111</v>
      </c>
      <c r="AC128" s="46">
        <v>101</v>
      </c>
      <c r="AD128" s="46" t="s">
        <v>157</v>
      </c>
      <c r="AE128" s="46">
        <v>0</v>
      </c>
    </row>
    <row r="129" spans="1:31" x14ac:dyDescent="0.25">
      <c r="A129" s="46" t="s">
        <v>57</v>
      </c>
      <c r="B129" s="46" t="s">
        <v>58</v>
      </c>
      <c r="C129" s="12" t="s">
        <v>199</v>
      </c>
      <c r="D129" s="46">
        <v>28979410</v>
      </c>
      <c r="E129" s="47">
        <v>45142</v>
      </c>
      <c r="F129" s="47">
        <v>45142</v>
      </c>
      <c r="G129" s="46">
        <v>1</v>
      </c>
      <c r="H129" s="47">
        <v>45246</v>
      </c>
      <c r="I129" s="47">
        <v>45259</v>
      </c>
      <c r="J129" s="46">
        <v>13</v>
      </c>
      <c r="K129" s="47">
        <v>45139</v>
      </c>
      <c r="L129" s="47">
        <v>45291</v>
      </c>
      <c r="M129" s="46">
        <v>99281</v>
      </c>
      <c r="N129" s="12" t="s">
        <v>155</v>
      </c>
      <c r="O129" s="46" t="s">
        <v>61</v>
      </c>
      <c r="P129" s="46" t="s">
        <v>62</v>
      </c>
      <c r="Q129" s="46">
        <v>366.45</v>
      </c>
      <c r="R129" s="46">
        <v>0</v>
      </c>
      <c r="S129" s="46">
        <v>289.49</v>
      </c>
      <c r="T129" s="46">
        <v>76.959999999999994</v>
      </c>
      <c r="U129" s="48">
        <v>0.78990000000000005</v>
      </c>
      <c r="V129" s="46" t="s">
        <v>44</v>
      </c>
      <c r="W129" s="46">
        <v>223375331</v>
      </c>
      <c r="X129" s="46" t="s">
        <v>300</v>
      </c>
      <c r="Y129" s="46" t="s">
        <v>64</v>
      </c>
      <c r="Z129" s="46" t="s">
        <v>301</v>
      </c>
      <c r="AA129" s="12" t="s">
        <v>302</v>
      </c>
      <c r="AB129" s="46">
        <v>131</v>
      </c>
      <c r="AD129" s="46" t="s">
        <v>157</v>
      </c>
      <c r="AE129" s="46">
        <v>0</v>
      </c>
    </row>
    <row r="130" spans="1:31" x14ac:dyDescent="0.25">
      <c r="A130" s="46" t="s">
        <v>57</v>
      </c>
      <c r="B130" s="46" t="s">
        <v>58</v>
      </c>
      <c r="C130" s="12" t="s">
        <v>199</v>
      </c>
      <c r="D130" s="46">
        <v>29686327</v>
      </c>
      <c r="E130" s="47">
        <v>45209</v>
      </c>
      <c r="F130" s="47">
        <v>45211</v>
      </c>
      <c r="G130" s="46">
        <v>2</v>
      </c>
      <c r="H130" s="47">
        <v>45226</v>
      </c>
      <c r="I130" s="47">
        <v>45238</v>
      </c>
      <c r="J130" s="46">
        <v>12</v>
      </c>
      <c r="K130" s="47">
        <v>45139</v>
      </c>
      <c r="L130" s="47">
        <v>45291</v>
      </c>
      <c r="N130" s="12"/>
      <c r="O130" s="46" t="s">
        <v>61</v>
      </c>
      <c r="P130" s="46" t="s">
        <v>62</v>
      </c>
      <c r="Q130" s="49">
        <v>2080</v>
      </c>
      <c r="R130" s="49">
        <v>2080</v>
      </c>
      <c r="S130" s="46">
        <v>0</v>
      </c>
      <c r="T130" s="46">
        <v>0</v>
      </c>
      <c r="U130" s="48">
        <v>0</v>
      </c>
      <c r="V130" s="46" t="s">
        <v>44</v>
      </c>
      <c r="W130" s="46">
        <v>223344805</v>
      </c>
      <c r="X130" s="46" t="s">
        <v>303</v>
      </c>
      <c r="Y130" s="46" t="s">
        <v>64</v>
      </c>
      <c r="Z130" s="46" t="s">
        <v>304</v>
      </c>
      <c r="AA130" s="12" t="s">
        <v>305</v>
      </c>
      <c r="AB130" s="46">
        <v>111</v>
      </c>
      <c r="AC130" s="46">
        <v>807</v>
      </c>
      <c r="AD130" s="46" t="s">
        <v>157</v>
      </c>
      <c r="AE130" s="46">
        <v>0</v>
      </c>
    </row>
    <row r="131" spans="1:31" x14ac:dyDescent="0.25">
      <c r="A131" s="46" t="s">
        <v>57</v>
      </c>
      <c r="B131" s="46" t="s">
        <v>58</v>
      </c>
      <c r="C131" s="12" t="s">
        <v>199</v>
      </c>
      <c r="D131" s="46">
        <v>29686327</v>
      </c>
      <c r="E131" s="47">
        <v>45209</v>
      </c>
      <c r="F131" s="47">
        <v>45211</v>
      </c>
      <c r="G131" s="46">
        <v>2</v>
      </c>
      <c r="H131" s="47">
        <v>45226</v>
      </c>
      <c r="I131" s="47">
        <v>45238</v>
      </c>
      <c r="J131" s="46">
        <v>12</v>
      </c>
      <c r="K131" s="47">
        <v>45139</v>
      </c>
      <c r="L131" s="47">
        <v>45291</v>
      </c>
      <c r="N131" s="12"/>
      <c r="O131" s="46" t="s">
        <v>61</v>
      </c>
      <c r="P131" s="46" t="s">
        <v>62</v>
      </c>
      <c r="Q131" s="49">
        <v>13977.15</v>
      </c>
      <c r="R131" s="49">
        <v>13977.15</v>
      </c>
      <c r="S131" s="46">
        <v>0</v>
      </c>
      <c r="T131" s="46">
        <v>0</v>
      </c>
      <c r="U131" s="48">
        <v>0</v>
      </c>
      <c r="V131" s="46" t="s">
        <v>44</v>
      </c>
      <c r="W131" s="46">
        <v>223344805</v>
      </c>
      <c r="X131" s="46" t="s">
        <v>303</v>
      </c>
      <c r="Y131" s="46" t="s">
        <v>64</v>
      </c>
      <c r="Z131" s="46" t="s">
        <v>304</v>
      </c>
      <c r="AA131" s="12" t="s">
        <v>305</v>
      </c>
      <c r="AB131" s="46">
        <v>111</v>
      </c>
      <c r="AC131" s="46">
        <v>807</v>
      </c>
      <c r="AD131" s="46" t="s">
        <v>157</v>
      </c>
      <c r="AE131" s="46">
        <v>0</v>
      </c>
    </row>
    <row r="132" spans="1:31" x14ac:dyDescent="0.25">
      <c r="A132" s="46" t="s">
        <v>57</v>
      </c>
      <c r="B132" s="46" t="s">
        <v>58</v>
      </c>
      <c r="C132" s="12" t="s">
        <v>306</v>
      </c>
      <c r="D132" s="46">
        <v>29428987</v>
      </c>
      <c r="E132" s="47">
        <v>45188</v>
      </c>
      <c r="F132" s="47">
        <v>45188</v>
      </c>
      <c r="G132" s="46">
        <v>1</v>
      </c>
      <c r="H132" s="47">
        <v>45202</v>
      </c>
      <c r="I132" s="47">
        <v>45224</v>
      </c>
      <c r="J132" s="46">
        <v>22</v>
      </c>
      <c r="K132" s="47">
        <v>45139</v>
      </c>
      <c r="L132" s="47">
        <v>45291</v>
      </c>
      <c r="M132" s="46">
        <v>99232</v>
      </c>
      <c r="N132" s="12" t="s">
        <v>71</v>
      </c>
      <c r="O132" s="46" t="s">
        <v>61</v>
      </c>
      <c r="P132" s="46" t="s">
        <v>62</v>
      </c>
      <c r="Q132" s="46">
        <v>127</v>
      </c>
      <c r="R132" s="46">
        <v>0</v>
      </c>
      <c r="S132" s="46">
        <v>81.52</v>
      </c>
      <c r="T132" s="46">
        <v>45.48</v>
      </c>
      <c r="U132" s="48">
        <v>0.64180000000000004</v>
      </c>
      <c r="V132" s="46" t="s">
        <v>44</v>
      </c>
      <c r="W132" s="46">
        <v>223305730</v>
      </c>
      <c r="X132" s="46" t="s">
        <v>307</v>
      </c>
      <c r="Y132" s="46" t="s">
        <v>64</v>
      </c>
      <c r="Z132" s="46" t="s">
        <v>308</v>
      </c>
      <c r="AA132" s="12" t="s">
        <v>309</v>
      </c>
      <c r="AB132" s="46">
        <v>0</v>
      </c>
      <c r="AD132" s="46" t="s">
        <v>67</v>
      </c>
      <c r="AE132" s="46">
        <v>21</v>
      </c>
    </row>
    <row r="133" spans="1:31" x14ac:dyDescent="0.25">
      <c r="A133" s="46" t="s">
        <v>57</v>
      </c>
      <c r="B133" s="46" t="s">
        <v>58</v>
      </c>
      <c r="C133" s="12" t="s">
        <v>306</v>
      </c>
      <c r="D133" s="46">
        <v>29428987</v>
      </c>
      <c r="E133" s="47">
        <v>45187</v>
      </c>
      <c r="F133" s="47">
        <v>45187</v>
      </c>
      <c r="G133" s="46">
        <v>1</v>
      </c>
      <c r="H133" s="47">
        <v>45218</v>
      </c>
      <c r="I133" s="47">
        <v>45238</v>
      </c>
      <c r="J133" s="46">
        <v>20</v>
      </c>
      <c r="K133" s="47">
        <v>45139</v>
      </c>
      <c r="L133" s="47">
        <v>45291</v>
      </c>
      <c r="M133" s="46">
        <v>93010</v>
      </c>
      <c r="N133" s="12" t="s">
        <v>310</v>
      </c>
      <c r="O133" s="46" t="s">
        <v>61</v>
      </c>
      <c r="P133" s="46" t="s">
        <v>62</v>
      </c>
      <c r="Q133" s="46">
        <v>15</v>
      </c>
      <c r="R133" s="46">
        <v>0</v>
      </c>
      <c r="S133" s="46">
        <v>8.58</v>
      </c>
      <c r="T133" s="46">
        <v>6.42</v>
      </c>
      <c r="U133" s="48">
        <v>0.57199999999999995</v>
      </c>
      <c r="V133" s="46" t="s">
        <v>44</v>
      </c>
      <c r="W133" s="46">
        <v>223331494</v>
      </c>
      <c r="X133" s="46" t="s">
        <v>311</v>
      </c>
      <c r="Y133" s="46" t="s">
        <v>64</v>
      </c>
      <c r="Z133" s="46" t="s">
        <v>312</v>
      </c>
      <c r="AA133" s="12" t="s">
        <v>313</v>
      </c>
      <c r="AB133" s="46">
        <v>0</v>
      </c>
      <c r="AD133" s="46" t="s">
        <v>67</v>
      </c>
      <c r="AE133" s="46">
        <v>21</v>
      </c>
    </row>
    <row r="134" spans="1:31" x14ac:dyDescent="0.25">
      <c r="A134" s="46" t="s">
        <v>57</v>
      </c>
      <c r="B134" s="46" t="s">
        <v>58</v>
      </c>
      <c r="C134" s="12" t="s">
        <v>306</v>
      </c>
      <c r="D134" s="46">
        <v>29280477</v>
      </c>
      <c r="E134" s="47">
        <v>45173</v>
      </c>
      <c r="F134" s="47">
        <v>45173</v>
      </c>
      <c r="G134" s="46">
        <v>1</v>
      </c>
      <c r="H134" s="47">
        <v>45202</v>
      </c>
      <c r="I134" s="47">
        <v>45224</v>
      </c>
      <c r="J134" s="46">
        <v>22</v>
      </c>
      <c r="K134" s="47">
        <v>45139</v>
      </c>
      <c r="L134" s="47">
        <v>45291</v>
      </c>
      <c r="M134" s="46">
        <v>93010</v>
      </c>
      <c r="N134" s="12" t="s">
        <v>310</v>
      </c>
      <c r="O134" s="46" t="s">
        <v>61</v>
      </c>
      <c r="P134" s="46" t="s">
        <v>62</v>
      </c>
      <c r="Q134" s="46">
        <v>15</v>
      </c>
      <c r="R134" s="46">
        <v>0</v>
      </c>
      <c r="S134" s="46">
        <v>8.58</v>
      </c>
      <c r="T134" s="46">
        <v>6.42</v>
      </c>
      <c r="U134" s="48">
        <v>0.57199999999999995</v>
      </c>
      <c r="V134" s="46" t="s">
        <v>44</v>
      </c>
      <c r="W134" s="46">
        <v>223305561</v>
      </c>
      <c r="X134" s="46" t="s">
        <v>314</v>
      </c>
      <c r="Y134" s="46" t="s">
        <v>64</v>
      </c>
      <c r="Z134" s="46" t="s">
        <v>312</v>
      </c>
      <c r="AA134" s="12" t="s">
        <v>313</v>
      </c>
      <c r="AB134" s="46">
        <v>0</v>
      </c>
      <c r="AD134" s="46" t="s">
        <v>67</v>
      </c>
      <c r="AE134" s="46">
        <v>23</v>
      </c>
    </row>
    <row r="135" spans="1:31" x14ac:dyDescent="0.25">
      <c r="A135" s="46" t="s">
        <v>57</v>
      </c>
      <c r="B135" s="46" t="s">
        <v>58</v>
      </c>
      <c r="C135" s="12" t="s">
        <v>306</v>
      </c>
      <c r="D135" s="46">
        <v>29508388</v>
      </c>
      <c r="E135" s="47">
        <v>45192</v>
      </c>
      <c r="F135" s="47">
        <v>45192</v>
      </c>
      <c r="G135" s="46">
        <v>1</v>
      </c>
      <c r="H135" s="47">
        <v>45224</v>
      </c>
      <c r="I135" s="47">
        <v>45238</v>
      </c>
      <c r="J135" s="46">
        <v>14</v>
      </c>
      <c r="K135" s="47">
        <v>45139</v>
      </c>
      <c r="L135" s="47">
        <v>45291</v>
      </c>
      <c r="M135" s="46">
        <v>93010</v>
      </c>
      <c r="N135" s="12" t="s">
        <v>310</v>
      </c>
      <c r="O135" s="46" t="s">
        <v>61</v>
      </c>
      <c r="P135" s="46" t="s">
        <v>62</v>
      </c>
      <c r="Q135" s="46">
        <v>15</v>
      </c>
      <c r="R135" s="46">
        <v>0</v>
      </c>
      <c r="S135" s="46">
        <v>8.58</v>
      </c>
      <c r="T135" s="46">
        <v>6.42</v>
      </c>
      <c r="U135" s="48">
        <v>0.57199999999999995</v>
      </c>
      <c r="V135" s="46" t="s">
        <v>44</v>
      </c>
      <c r="W135" s="46">
        <v>223339082</v>
      </c>
      <c r="X135" s="46" t="s">
        <v>315</v>
      </c>
      <c r="Y135" s="46" t="s">
        <v>64</v>
      </c>
      <c r="Z135" s="46" t="s">
        <v>316</v>
      </c>
      <c r="AA135" s="12" t="s">
        <v>317</v>
      </c>
      <c r="AB135" s="46">
        <v>0</v>
      </c>
      <c r="AD135" s="46" t="s">
        <v>67</v>
      </c>
      <c r="AE135" s="46">
        <v>23</v>
      </c>
    </row>
    <row r="136" spans="1:31" x14ac:dyDescent="0.25">
      <c r="A136" s="46" t="s">
        <v>57</v>
      </c>
      <c r="B136" s="46" t="s">
        <v>58</v>
      </c>
      <c r="C136" s="12" t="s">
        <v>306</v>
      </c>
      <c r="D136" s="46">
        <v>29695997</v>
      </c>
      <c r="E136" s="47">
        <v>45210</v>
      </c>
      <c r="F136" s="47">
        <v>45210</v>
      </c>
      <c r="G136" s="46">
        <v>1</v>
      </c>
      <c r="H136" s="47">
        <v>45225</v>
      </c>
      <c r="I136" s="47">
        <v>45238</v>
      </c>
      <c r="J136" s="46">
        <v>13</v>
      </c>
      <c r="K136" s="47">
        <v>45139</v>
      </c>
      <c r="L136" s="47">
        <v>45291</v>
      </c>
      <c r="M136" s="46">
        <v>99291</v>
      </c>
      <c r="N136" s="12" t="s">
        <v>318</v>
      </c>
      <c r="O136" s="46" t="s">
        <v>61</v>
      </c>
      <c r="P136" s="46" t="s">
        <v>62</v>
      </c>
      <c r="Q136" s="46">
        <v>440</v>
      </c>
      <c r="R136" s="46">
        <v>0</v>
      </c>
      <c r="S136" s="46">
        <v>256.19</v>
      </c>
      <c r="T136" s="46">
        <v>183.81</v>
      </c>
      <c r="U136" s="48">
        <v>0.58220000000000005</v>
      </c>
      <c r="V136" s="46" t="s">
        <v>44</v>
      </c>
      <c r="W136" s="46">
        <v>223340139</v>
      </c>
      <c r="X136" s="46" t="s">
        <v>319</v>
      </c>
      <c r="Y136" s="46" t="s">
        <v>64</v>
      </c>
      <c r="Z136" s="46" t="s">
        <v>113</v>
      </c>
      <c r="AA136" s="12" t="s">
        <v>114</v>
      </c>
      <c r="AB136" s="46">
        <v>0</v>
      </c>
      <c r="AD136" s="46" t="s">
        <v>67</v>
      </c>
      <c r="AE136" s="46">
        <v>21</v>
      </c>
    </row>
    <row r="137" spans="1:31" x14ac:dyDescent="0.25">
      <c r="A137" s="46" t="s">
        <v>57</v>
      </c>
      <c r="B137" s="46" t="s">
        <v>58</v>
      </c>
      <c r="C137" s="12" t="s">
        <v>306</v>
      </c>
      <c r="D137" s="46">
        <v>29695997</v>
      </c>
      <c r="E137" s="47">
        <v>45211</v>
      </c>
      <c r="F137" s="47">
        <v>45211</v>
      </c>
      <c r="G137" s="46">
        <v>1</v>
      </c>
      <c r="H137" s="47">
        <v>45225</v>
      </c>
      <c r="I137" s="47">
        <v>45238</v>
      </c>
      <c r="J137" s="46">
        <v>13</v>
      </c>
      <c r="K137" s="47">
        <v>45139</v>
      </c>
      <c r="L137" s="47">
        <v>45291</v>
      </c>
      <c r="M137" s="46">
        <v>99291</v>
      </c>
      <c r="N137" s="12" t="s">
        <v>318</v>
      </c>
      <c r="O137" s="46" t="s">
        <v>61</v>
      </c>
      <c r="P137" s="46" t="s">
        <v>62</v>
      </c>
      <c r="Q137" s="46">
        <v>440</v>
      </c>
      <c r="R137" s="46">
        <v>0</v>
      </c>
      <c r="S137" s="46">
        <v>256.19</v>
      </c>
      <c r="T137" s="46">
        <v>183.81</v>
      </c>
      <c r="U137" s="48">
        <v>0.58220000000000005</v>
      </c>
      <c r="V137" s="46" t="s">
        <v>44</v>
      </c>
      <c r="W137" s="46">
        <v>223340139</v>
      </c>
      <c r="X137" s="46" t="s">
        <v>319</v>
      </c>
      <c r="Y137" s="46" t="s">
        <v>64</v>
      </c>
      <c r="Z137" s="46" t="s">
        <v>113</v>
      </c>
      <c r="AA137" s="12" t="s">
        <v>114</v>
      </c>
      <c r="AB137" s="46">
        <v>0</v>
      </c>
      <c r="AD137" s="46" t="s">
        <v>67</v>
      </c>
      <c r="AE137" s="46">
        <v>21</v>
      </c>
    </row>
    <row r="138" spans="1:31" x14ac:dyDescent="0.25">
      <c r="A138" s="46" t="s">
        <v>57</v>
      </c>
      <c r="B138" s="46" t="s">
        <v>58</v>
      </c>
      <c r="C138" s="12" t="s">
        <v>306</v>
      </c>
      <c r="D138" s="46">
        <v>29695997</v>
      </c>
      <c r="E138" s="47">
        <v>45212</v>
      </c>
      <c r="F138" s="47">
        <v>45212</v>
      </c>
      <c r="G138" s="46">
        <v>1</v>
      </c>
      <c r="H138" s="47">
        <v>45225</v>
      </c>
      <c r="I138" s="47">
        <v>45238</v>
      </c>
      <c r="J138" s="46">
        <v>13</v>
      </c>
      <c r="K138" s="47">
        <v>45139</v>
      </c>
      <c r="L138" s="47">
        <v>45291</v>
      </c>
      <c r="M138" s="46">
        <v>99291</v>
      </c>
      <c r="N138" s="12" t="s">
        <v>318</v>
      </c>
      <c r="O138" s="46" t="s">
        <v>61</v>
      </c>
      <c r="P138" s="46" t="s">
        <v>62</v>
      </c>
      <c r="Q138" s="46">
        <v>440</v>
      </c>
      <c r="R138" s="46">
        <v>0</v>
      </c>
      <c r="S138" s="46">
        <v>256.19</v>
      </c>
      <c r="T138" s="46">
        <v>183.81</v>
      </c>
      <c r="U138" s="48">
        <v>0.58220000000000005</v>
      </c>
      <c r="V138" s="46" t="s">
        <v>44</v>
      </c>
      <c r="W138" s="46">
        <v>223340139</v>
      </c>
      <c r="X138" s="46" t="s">
        <v>319</v>
      </c>
      <c r="Y138" s="46" t="s">
        <v>64</v>
      </c>
      <c r="Z138" s="46" t="s">
        <v>113</v>
      </c>
      <c r="AA138" s="12" t="s">
        <v>114</v>
      </c>
      <c r="AB138" s="46">
        <v>0</v>
      </c>
      <c r="AD138" s="46" t="s">
        <v>67</v>
      </c>
      <c r="AE138" s="46">
        <v>21</v>
      </c>
    </row>
    <row r="139" spans="1:31" x14ac:dyDescent="0.25">
      <c r="A139" s="46" t="s">
        <v>57</v>
      </c>
      <c r="B139" s="46" t="s">
        <v>58</v>
      </c>
      <c r="C139" s="12" t="s">
        <v>306</v>
      </c>
      <c r="D139" s="46">
        <v>29695997</v>
      </c>
      <c r="E139" s="47">
        <v>45213</v>
      </c>
      <c r="F139" s="47">
        <v>45213</v>
      </c>
      <c r="G139" s="46">
        <v>1</v>
      </c>
      <c r="H139" s="47">
        <v>45226</v>
      </c>
      <c r="I139" s="47">
        <v>45238</v>
      </c>
      <c r="J139" s="46">
        <v>12</v>
      </c>
      <c r="K139" s="47">
        <v>45139</v>
      </c>
      <c r="L139" s="47">
        <v>45291</v>
      </c>
      <c r="M139" s="46">
        <v>99291</v>
      </c>
      <c r="N139" s="12" t="s">
        <v>318</v>
      </c>
      <c r="O139" s="46" t="s">
        <v>61</v>
      </c>
      <c r="P139" s="46" t="s">
        <v>62</v>
      </c>
      <c r="Q139" s="46">
        <v>440</v>
      </c>
      <c r="R139" s="46">
        <v>0</v>
      </c>
      <c r="S139" s="46">
        <v>256.19</v>
      </c>
      <c r="T139" s="46">
        <v>183.81</v>
      </c>
      <c r="U139" s="48">
        <v>0.58220000000000005</v>
      </c>
      <c r="V139" s="46" t="s">
        <v>44</v>
      </c>
      <c r="W139" s="46">
        <v>223344778</v>
      </c>
      <c r="X139" s="46" t="s">
        <v>320</v>
      </c>
      <c r="Y139" s="46" t="s">
        <v>64</v>
      </c>
      <c r="Z139" s="46" t="s">
        <v>113</v>
      </c>
      <c r="AA139" s="12" t="s">
        <v>114</v>
      </c>
      <c r="AB139" s="46">
        <v>0</v>
      </c>
      <c r="AD139" s="46" t="s">
        <v>67</v>
      </c>
      <c r="AE139" s="46">
        <v>21</v>
      </c>
    </row>
    <row r="140" spans="1:31" x14ac:dyDescent="0.25">
      <c r="A140" s="46" t="s">
        <v>57</v>
      </c>
      <c r="B140" s="46" t="s">
        <v>58</v>
      </c>
      <c r="C140" s="12" t="s">
        <v>306</v>
      </c>
      <c r="D140" s="46">
        <v>29695997</v>
      </c>
      <c r="E140" s="47">
        <v>45214</v>
      </c>
      <c r="F140" s="47">
        <v>45214</v>
      </c>
      <c r="G140" s="46">
        <v>1</v>
      </c>
      <c r="H140" s="47">
        <v>45230</v>
      </c>
      <c r="I140" s="47">
        <v>45238</v>
      </c>
      <c r="J140" s="46">
        <v>8</v>
      </c>
      <c r="K140" s="47">
        <v>45139</v>
      </c>
      <c r="L140" s="47">
        <v>45291</v>
      </c>
      <c r="M140" s="46">
        <v>99254</v>
      </c>
      <c r="N140" s="12" t="s">
        <v>321</v>
      </c>
      <c r="O140" s="46" t="s">
        <v>61</v>
      </c>
      <c r="P140" s="46" t="s">
        <v>62</v>
      </c>
      <c r="Q140" s="46">
        <v>275</v>
      </c>
      <c r="R140" s="46">
        <v>0</v>
      </c>
      <c r="S140" s="46">
        <v>159.25</v>
      </c>
      <c r="T140" s="46">
        <v>115.75</v>
      </c>
      <c r="U140" s="48">
        <v>0.57899999999999996</v>
      </c>
      <c r="V140" s="46" t="s">
        <v>44</v>
      </c>
      <c r="W140" s="46">
        <v>223348742</v>
      </c>
      <c r="X140" s="46" t="s">
        <v>322</v>
      </c>
      <c r="Y140" s="46" t="s">
        <v>64</v>
      </c>
      <c r="Z140" s="46" t="s">
        <v>323</v>
      </c>
      <c r="AA140" s="12" t="s">
        <v>324</v>
      </c>
      <c r="AB140" s="46">
        <v>0</v>
      </c>
      <c r="AD140" s="46" t="s">
        <v>67</v>
      </c>
      <c r="AE140" s="46">
        <v>2</v>
      </c>
    </row>
    <row r="141" spans="1:31" x14ac:dyDescent="0.25">
      <c r="A141" s="46" t="s">
        <v>57</v>
      </c>
      <c r="B141" s="46" t="s">
        <v>58</v>
      </c>
      <c r="C141" s="12" t="s">
        <v>306</v>
      </c>
      <c r="D141" s="46">
        <v>29695997</v>
      </c>
      <c r="E141" s="47">
        <v>45215</v>
      </c>
      <c r="F141" s="47">
        <v>45215</v>
      </c>
      <c r="G141" s="46">
        <v>1</v>
      </c>
      <c r="H141" s="47">
        <v>45230</v>
      </c>
      <c r="I141" s="47">
        <v>45238</v>
      </c>
      <c r="J141" s="46">
        <v>8</v>
      </c>
      <c r="K141" s="47">
        <v>45139</v>
      </c>
      <c r="L141" s="47">
        <v>45291</v>
      </c>
      <c r="M141" s="46">
        <v>93010</v>
      </c>
      <c r="N141" s="12" t="s">
        <v>310</v>
      </c>
      <c r="O141" s="46" t="s">
        <v>61</v>
      </c>
      <c r="P141" s="46" t="s">
        <v>62</v>
      </c>
      <c r="Q141" s="46">
        <v>15</v>
      </c>
      <c r="R141" s="46">
        <v>0</v>
      </c>
      <c r="S141" s="46">
        <v>8.58</v>
      </c>
      <c r="T141" s="46">
        <v>6.42</v>
      </c>
      <c r="U141" s="48">
        <v>0.57199999999999995</v>
      </c>
      <c r="V141" s="46" t="s">
        <v>44</v>
      </c>
      <c r="W141" s="46">
        <v>223348904</v>
      </c>
      <c r="X141" s="46" t="s">
        <v>325</v>
      </c>
      <c r="Y141" s="46" t="s">
        <v>64</v>
      </c>
      <c r="Z141" s="46" t="s">
        <v>323</v>
      </c>
      <c r="AA141" s="12" t="s">
        <v>324</v>
      </c>
      <c r="AB141" s="46">
        <v>0</v>
      </c>
      <c r="AD141" s="46" t="s">
        <v>67</v>
      </c>
      <c r="AE141" s="46">
        <v>21</v>
      </c>
    </row>
    <row r="142" spans="1:31" x14ac:dyDescent="0.25">
      <c r="A142" s="46" t="s">
        <v>57</v>
      </c>
      <c r="B142" s="46" t="s">
        <v>58</v>
      </c>
      <c r="C142" s="12" t="s">
        <v>306</v>
      </c>
      <c r="D142" s="46">
        <v>29695997</v>
      </c>
      <c r="E142" s="47">
        <v>45212</v>
      </c>
      <c r="F142" s="47">
        <v>45212</v>
      </c>
      <c r="G142" s="46">
        <v>1</v>
      </c>
      <c r="H142" s="47">
        <v>45230</v>
      </c>
      <c r="I142" s="47">
        <v>45238</v>
      </c>
      <c r="J142" s="46">
        <v>8</v>
      </c>
      <c r="K142" s="47">
        <v>45139</v>
      </c>
      <c r="L142" s="47">
        <v>45291</v>
      </c>
      <c r="M142" s="46">
        <v>99291</v>
      </c>
      <c r="N142" s="12" t="s">
        <v>318</v>
      </c>
      <c r="O142" s="46" t="s">
        <v>61</v>
      </c>
      <c r="P142" s="46" t="s">
        <v>62</v>
      </c>
      <c r="Q142" s="46">
        <v>440</v>
      </c>
      <c r="R142" s="46">
        <v>440</v>
      </c>
      <c r="S142" s="46">
        <v>0</v>
      </c>
      <c r="T142" s="46">
        <v>0</v>
      </c>
      <c r="U142" s="48">
        <v>0</v>
      </c>
      <c r="V142" s="46" t="s">
        <v>44</v>
      </c>
      <c r="W142" s="46">
        <v>223348908</v>
      </c>
      <c r="X142" s="46" t="s">
        <v>326</v>
      </c>
      <c r="Y142" s="46" t="s">
        <v>64</v>
      </c>
      <c r="Z142" s="46" t="s">
        <v>113</v>
      </c>
      <c r="AA142" s="12" t="s">
        <v>114</v>
      </c>
      <c r="AB142" s="46">
        <v>0</v>
      </c>
      <c r="AD142" s="46" t="s">
        <v>67</v>
      </c>
      <c r="AE142" s="46">
        <v>21</v>
      </c>
    </row>
    <row r="143" spans="1:31" x14ac:dyDescent="0.25">
      <c r="A143" s="46" t="s">
        <v>57</v>
      </c>
      <c r="B143" s="46" t="s">
        <v>58</v>
      </c>
      <c r="C143" s="12" t="s">
        <v>306</v>
      </c>
      <c r="D143" s="46">
        <v>29695997</v>
      </c>
      <c r="E143" s="47">
        <v>45215</v>
      </c>
      <c r="F143" s="47">
        <v>45215</v>
      </c>
      <c r="G143" s="46">
        <v>1</v>
      </c>
      <c r="H143" s="47">
        <v>45230</v>
      </c>
      <c r="I143" s="47">
        <v>45238</v>
      </c>
      <c r="J143" s="46">
        <v>8</v>
      </c>
      <c r="K143" s="47">
        <v>45139</v>
      </c>
      <c r="L143" s="47">
        <v>45291</v>
      </c>
      <c r="M143" s="46">
        <v>99291</v>
      </c>
      <c r="N143" s="12" t="s">
        <v>318</v>
      </c>
      <c r="O143" s="46" t="s">
        <v>61</v>
      </c>
      <c r="P143" s="46" t="s">
        <v>62</v>
      </c>
      <c r="Q143" s="46">
        <v>440</v>
      </c>
      <c r="R143" s="46">
        <v>0</v>
      </c>
      <c r="S143" s="46">
        <v>256.19</v>
      </c>
      <c r="T143" s="46">
        <v>183.81</v>
      </c>
      <c r="U143" s="48">
        <v>0.58220000000000005</v>
      </c>
      <c r="V143" s="46" t="s">
        <v>44</v>
      </c>
      <c r="W143" s="46">
        <v>223348916</v>
      </c>
      <c r="X143" s="46" t="s">
        <v>327</v>
      </c>
      <c r="Y143" s="46" t="s">
        <v>64</v>
      </c>
      <c r="Z143" s="46" t="s">
        <v>328</v>
      </c>
      <c r="AA143" s="12" t="s">
        <v>329</v>
      </c>
      <c r="AB143" s="46">
        <v>0</v>
      </c>
      <c r="AD143" s="46" t="s">
        <v>67</v>
      </c>
      <c r="AE143" s="46">
        <v>21</v>
      </c>
    </row>
    <row r="144" spans="1:31" x14ac:dyDescent="0.25">
      <c r="A144" s="46" t="s">
        <v>57</v>
      </c>
      <c r="B144" s="46" t="s">
        <v>58</v>
      </c>
      <c r="C144" s="12" t="s">
        <v>306</v>
      </c>
      <c r="D144" s="46">
        <v>29695997</v>
      </c>
      <c r="E144" s="47">
        <v>45213</v>
      </c>
      <c r="F144" s="47">
        <v>45213</v>
      </c>
      <c r="G144" s="46">
        <v>1</v>
      </c>
      <c r="H144" s="47">
        <v>45230</v>
      </c>
      <c r="I144" s="47">
        <v>45238</v>
      </c>
      <c r="J144" s="46">
        <v>8</v>
      </c>
      <c r="K144" s="47">
        <v>45139</v>
      </c>
      <c r="L144" s="47">
        <v>45291</v>
      </c>
      <c r="M144" s="46">
        <v>93010</v>
      </c>
      <c r="N144" s="12" t="s">
        <v>310</v>
      </c>
      <c r="O144" s="46" t="s">
        <v>61</v>
      </c>
      <c r="P144" s="46" t="s">
        <v>62</v>
      </c>
      <c r="Q144" s="46">
        <v>15</v>
      </c>
      <c r="R144" s="46">
        <v>0</v>
      </c>
      <c r="S144" s="46">
        <v>8.58</v>
      </c>
      <c r="T144" s="46">
        <v>6.42</v>
      </c>
      <c r="U144" s="48">
        <v>0.57199999999999995</v>
      </c>
      <c r="V144" s="46" t="s">
        <v>44</v>
      </c>
      <c r="W144" s="46">
        <v>223349037</v>
      </c>
      <c r="X144" s="46" t="s">
        <v>330</v>
      </c>
      <c r="Y144" s="46" t="s">
        <v>64</v>
      </c>
      <c r="Z144" s="46" t="s">
        <v>323</v>
      </c>
      <c r="AA144" s="12" t="s">
        <v>324</v>
      </c>
      <c r="AB144" s="46">
        <v>0</v>
      </c>
      <c r="AD144" s="46" t="s">
        <v>67</v>
      </c>
      <c r="AE144" s="46">
        <v>21</v>
      </c>
    </row>
    <row r="145" spans="1:31" x14ac:dyDescent="0.25">
      <c r="A145" s="46" t="s">
        <v>57</v>
      </c>
      <c r="B145" s="46" t="s">
        <v>58</v>
      </c>
      <c r="C145" s="12" t="s">
        <v>306</v>
      </c>
      <c r="D145" s="46">
        <v>29695997</v>
      </c>
      <c r="E145" s="47">
        <v>45214</v>
      </c>
      <c r="F145" s="47">
        <v>45214</v>
      </c>
      <c r="G145" s="46">
        <v>1</v>
      </c>
      <c r="H145" s="47">
        <v>45230</v>
      </c>
      <c r="I145" s="47">
        <v>45238</v>
      </c>
      <c r="J145" s="46">
        <v>8</v>
      </c>
      <c r="K145" s="47">
        <v>45139</v>
      </c>
      <c r="L145" s="47">
        <v>45291</v>
      </c>
      <c r="M145" s="46">
        <v>93306</v>
      </c>
      <c r="N145" s="12" t="s">
        <v>331</v>
      </c>
      <c r="O145" s="46" t="s">
        <v>61</v>
      </c>
      <c r="P145" s="46" t="s">
        <v>62</v>
      </c>
      <c r="Q145" s="46">
        <v>166</v>
      </c>
      <c r="R145" s="46">
        <v>0</v>
      </c>
      <c r="S145" s="46">
        <v>111.74</v>
      </c>
      <c r="T145" s="46">
        <v>54.26</v>
      </c>
      <c r="U145" s="48">
        <v>0.67310000000000003</v>
      </c>
      <c r="V145" s="46" t="s">
        <v>44</v>
      </c>
      <c r="W145" s="46">
        <v>223349037</v>
      </c>
      <c r="X145" s="46" t="s">
        <v>330</v>
      </c>
      <c r="Y145" s="46" t="s">
        <v>64</v>
      </c>
      <c r="Z145" s="46" t="s">
        <v>323</v>
      </c>
      <c r="AA145" s="12" t="s">
        <v>324</v>
      </c>
      <c r="AB145" s="46">
        <v>0</v>
      </c>
      <c r="AD145" s="46" t="s">
        <v>67</v>
      </c>
      <c r="AE145" s="46">
        <v>21</v>
      </c>
    </row>
    <row r="146" spans="1:31" x14ac:dyDescent="0.25">
      <c r="A146" s="46" t="s">
        <v>57</v>
      </c>
      <c r="B146" s="46" t="s">
        <v>58</v>
      </c>
      <c r="C146" s="12" t="s">
        <v>306</v>
      </c>
      <c r="D146" s="46">
        <v>29695997</v>
      </c>
      <c r="E146" s="47">
        <v>45215</v>
      </c>
      <c r="F146" s="47">
        <v>45215</v>
      </c>
      <c r="G146" s="46">
        <v>1</v>
      </c>
      <c r="H146" s="47">
        <v>45231</v>
      </c>
      <c r="I146" s="47">
        <v>45245</v>
      </c>
      <c r="J146" s="46">
        <v>14</v>
      </c>
      <c r="K146" s="47">
        <v>45139</v>
      </c>
      <c r="L146" s="47">
        <v>45291</v>
      </c>
      <c r="M146" s="46">
        <v>99233</v>
      </c>
      <c r="N146" s="12" t="s">
        <v>71</v>
      </c>
      <c r="O146" s="46" t="s">
        <v>61</v>
      </c>
      <c r="P146" s="46" t="s">
        <v>62</v>
      </c>
      <c r="Q146" s="46">
        <v>171</v>
      </c>
      <c r="R146" s="46">
        <v>0</v>
      </c>
      <c r="S146" s="46">
        <v>109.83</v>
      </c>
      <c r="T146" s="46">
        <v>61.17</v>
      </c>
      <c r="U146" s="48">
        <v>0.64219999999999999</v>
      </c>
      <c r="V146" s="46" t="s">
        <v>44</v>
      </c>
      <c r="W146" s="46">
        <v>223351148</v>
      </c>
      <c r="X146" s="46" t="s">
        <v>332</v>
      </c>
      <c r="Y146" s="46" t="s">
        <v>64</v>
      </c>
      <c r="Z146" s="46" t="s">
        <v>328</v>
      </c>
      <c r="AA146" s="12" t="s">
        <v>329</v>
      </c>
      <c r="AB146" s="46">
        <v>0</v>
      </c>
      <c r="AD146" s="46" t="s">
        <v>67</v>
      </c>
      <c r="AE146" s="46">
        <v>21</v>
      </c>
    </row>
    <row r="147" spans="1:31" x14ac:dyDescent="0.25">
      <c r="A147" s="46" t="s">
        <v>57</v>
      </c>
      <c r="B147" s="46" t="s">
        <v>58</v>
      </c>
      <c r="C147" s="12" t="s">
        <v>306</v>
      </c>
      <c r="D147" s="46">
        <v>29695997</v>
      </c>
      <c r="E147" s="47">
        <v>45215</v>
      </c>
      <c r="F147" s="47">
        <v>45215</v>
      </c>
      <c r="G147" s="46">
        <v>1</v>
      </c>
      <c r="H147" s="47">
        <v>45231</v>
      </c>
      <c r="I147" s="47">
        <v>45245</v>
      </c>
      <c r="J147" s="46">
        <v>14</v>
      </c>
      <c r="K147" s="47">
        <v>45139</v>
      </c>
      <c r="L147" s="47">
        <v>45291</v>
      </c>
      <c r="M147" s="46">
        <v>99239</v>
      </c>
      <c r="N147" s="12" t="s">
        <v>73</v>
      </c>
      <c r="O147" s="46" t="s">
        <v>61</v>
      </c>
      <c r="P147" s="46" t="s">
        <v>62</v>
      </c>
      <c r="Q147" s="46">
        <v>176</v>
      </c>
      <c r="R147" s="46">
        <v>0</v>
      </c>
      <c r="S147" s="46">
        <v>103.85</v>
      </c>
      <c r="T147" s="46">
        <v>72.150000000000006</v>
      </c>
      <c r="U147" s="48">
        <v>0.59</v>
      </c>
      <c r="V147" s="46" t="s">
        <v>44</v>
      </c>
      <c r="W147" s="46">
        <v>223351150</v>
      </c>
      <c r="X147" s="46" t="s">
        <v>333</v>
      </c>
      <c r="Y147" s="46" t="s">
        <v>64</v>
      </c>
      <c r="Z147" s="46" t="s">
        <v>334</v>
      </c>
      <c r="AA147" s="12" t="s">
        <v>335</v>
      </c>
      <c r="AB147" s="46">
        <v>0</v>
      </c>
      <c r="AD147" s="46" t="s">
        <v>67</v>
      </c>
      <c r="AE147" s="46">
        <v>21</v>
      </c>
    </row>
    <row r="148" spans="1:31" x14ac:dyDescent="0.25">
      <c r="A148" s="46" t="s">
        <v>57</v>
      </c>
      <c r="B148" s="46" t="s">
        <v>58</v>
      </c>
      <c r="C148" s="12" t="s">
        <v>306</v>
      </c>
      <c r="D148" s="46">
        <v>29914829</v>
      </c>
      <c r="E148" s="47">
        <v>45226</v>
      </c>
      <c r="F148" s="47">
        <v>45226</v>
      </c>
      <c r="G148" s="46">
        <v>1</v>
      </c>
      <c r="H148" s="47">
        <v>45245</v>
      </c>
      <c r="I148" s="47">
        <v>45252</v>
      </c>
      <c r="J148" s="46">
        <v>7</v>
      </c>
      <c r="K148" s="47">
        <v>45139</v>
      </c>
      <c r="L148" s="47">
        <v>45291</v>
      </c>
      <c r="M148" s="46">
        <v>93010</v>
      </c>
      <c r="N148" s="12" t="s">
        <v>310</v>
      </c>
      <c r="O148" s="46" t="s">
        <v>61</v>
      </c>
      <c r="P148" s="46" t="s">
        <v>62</v>
      </c>
      <c r="Q148" s="46">
        <v>15</v>
      </c>
      <c r="R148" s="46">
        <v>0</v>
      </c>
      <c r="S148" s="46">
        <v>8.58</v>
      </c>
      <c r="T148" s="46">
        <v>6.42</v>
      </c>
      <c r="U148" s="48">
        <v>0.57199999999999995</v>
      </c>
      <c r="V148" s="46" t="s">
        <v>44</v>
      </c>
      <c r="W148" s="46">
        <v>223373122</v>
      </c>
      <c r="X148" s="46" t="s">
        <v>336</v>
      </c>
      <c r="Y148" s="46" t="s">
        <v>64</v>
      </c>
      <c r="Z148" s="46" t="s">
        <v>312</v>
      </c>
      <c r="AA148" s="12" t="s">
        <v>313</v>
      </c>
      <c r="AB148" s="46">
        <v>0</v>
      </c>
      <c r="AD148" s="46" t="s">
        <v>67</v>
      </c>
      <c r="AE148" s="46">
        <v>23</v>
      </c>
    </row>
    <row r="149" spans="1:31" x14ac:dyDescent="0.25">
      <c r="A149" s="46" t="s">
        <v>57</v>
      </c>
      <c r="B149" s="46" t="s">
        <v>58</v>
      </c>
      <c r="C149" s="12" t="s">
        <v>306</v>
      </c>
      <c r="D149" s="46">
        <v>29241234</v>
      </c>
      <c r="E149" s="47">
        <v>45169</v>
      </c>
      <c r="F149" s="47">
        <v>45169</v>
      </c>
      <c r="G149" s="46">
        <v>1</v>
      </c>
      <c r="H149" s="47">
        <v>45188</v>
      </c>
      <c r="I149" s="47">
        <v>45203</v>
      </c>
      <c r="J149" s="46">
        <v>15</v>
      </c>
      <c r="K149" s="47">
        <v>45139</v>
      </c>
      <c r="L149" s="47">
        <v>45291</v>
      </c>
      <c r="M149" s="46">
        <v>93010</v>
      </c>
      <c r="N149" s="12" t="s">
        <v>310</v>
      </c>
      <c r="O149" s="46" t="s">
        <v>61</v>
      </c>
      <c r="P149" s="46" t="s">
        <v>62</v>
      </c>
      <c r="Q149" s="46">
        <v>15</v>
      </c>
      <c r="R149" s="46">
        <v>0</v>
      </c>
      <c r="S149" s="46">
        <v>8.58</v>
      </c>
      <c r="T149" s="46">
        <v>6.42</v>
      </c>
      <c r="U149" s="48">
        <v>0.57199999999999995</v>
      </c>
      <c r="V149" s="46" t="s">
        <v>44</v>
      </c>
      <c r="W149" s="46">
        <v>223291076</v>
      </c>
      <c r="X149" s="46" t="s">
        <v>337</v>
      </c>
      <c r="Y149" s="46" t="s">
        <v>64</v>
      </c>
      <c r="Z149" s="46" t="s">
        <v>123</v>
      </c>
      <c r="AA149" s="12" t="s">
        <v>124</v>
      </c>
      <c r="AB149" s="46">
        <v>0</v>
      </c>
      <c r="AD149" s="46" t="s">
        <v>67</v>
      </c>
      <c r="AE149" s="46">
        <v>22</v>
      </c>
    </row>
    <row r="150" spans="1:31" x14ac:dyDescent="0.25">
      <c r="A150" s="46" t="s">
        <v>57</v>
      </c>
      <c r="B150" s="46" t="s">
        <v>58</v>
      </c>
      <c r="C150" s="12" t="s">
        <v>306</v>
      </c>
      <c r="D150" s="46">
        <v>29241234</v>
      </c>
      <c r="E150" s="47">
        <v>45170</v>
      </c>
      <c r="F150" s="47">
        <v>45170</v>
      </c>
      <c r="G150" s="46">
        <v>1</v>
      </c>
      <c r="H150" s="47">
        <v>45188</v>
      </c>
      <c r="I150" s="47">
        <v>45203</v>
      </c>
      <c r="J150" s="46">
        <v>15</v>
      </c>
      <c r="K150" s="47">
        <v>45139</v>
      </c>
      <c r="L150" s="47">
        <v>45291</v>
      </c>
      <c r="M150" s="46">
        <v>93306</v>
      </c>
      <c r="N150" s="12" t="s">
        <v>331</v>
      </c>
      <c r="O150" s="46" t="s">
        <v>61</v>
      </c>
      <c r="P150" s="46" t="s">
        <v>62</v>
      </c>
      <c r="Q150" s="46">
        <v>166</v>
      </c>
      <c r="R150" s="46">
        <v>0</v>
      </c>
      <c r="S150" s="46">
        <v>111.74</v>
      </c>
      <c r="T150" s="46">
        <v>54.26</v>
      </c>
      <c r="U150" s="48">
        <v>0.67310000000000003</v>
      </c>
      <c r="V150" s="46" t="s">
        <v>44</v>
      </c>
      <c r="W150" s="46">
        <v>223291076</v>
      </c>
      <c r="X150" s="46" t="s">
        <v>337</v>
      </c>
      <c r="Y150" s="46" t="s">
        <v>64</v>
      </c>
      <c r="Z150" s="46" t="s">
        <v>123</v>
      </c>
      <c r="AA150" s="12" t="s">
        <v>124</v>
      </c>
      <c r="AB150" s="46">
        <v>0</v>
      </c>
      <c r="AD150" s="46" t="s">
        <v>67</v>
      </c>
      <c r="AE150" s="46">
        <v>22</v>
      </c>
    </row>
    <row r="151" spans="1:31" x14ac:dyDescent="0.25">
      <c r="A151" s="46" t="s">
        <v>57</v>
      </c>
      <c r="B151" s="46" t="s">
        <v>58</v>
      </c>
      <c r="C151" s="12" t="s">
        <v>306</v>
      </c>
      <c r="D151" s="46">
        <v>29951930</v>
      </c>
      <c r="E151" s="47">
        <v>45232</v>
      </c>
      <c r="F151" s="47">
        <v>45232</v>
      </c>
      <c r="G151" s="46">
        <v>1</v>
      </c>
      <c r="H151" s="47">
        <v>45246</v>
      </c>
      <c r="I151" s="47">
        <v>45259</v>
      </c>
      <c r="J151" s="46">
        <v>13</v>
      </c>
      <c r="K151" s="47">
        <v>45139</v>
      </c>
      <c r="L151" s="47">
        <v>45291</v>
      </c>
      <c r="M151" s="46">
        <v>99223</v>
      </c>
      <c r="N151" s="12" t="s">
        <v>74</v>
      </c>
      <c r="O151" s="46" t="s">
        <v>61</v>
      </c>
      <c r="P151" s="46" t="s">
        <v>62</v>
      </c>
      <c r="Q151" s="46">
        <v>303</v>
      </c>
      <c r="R151" s="46">
        <v>0</v>
      </c>
      <c r="S151" s="46">
        <v>182.86</v>
      </c>
      <c r="T151" s="46">
        <v>120.14</v>
      </c>
      <c r="U151" s="48">
        <v>0.60340000000000005</v>
      </c>
      <c r="V151" s="46" t="s">
        <v>44</v>
      </c>
      <c r="W151" s="46">
        <v>223375431</v>
      </c>
      <c r="X151" s="46" t="s">
        <v>338</v>
      </c>
      <c r="Y151" s="46" t="s">
        <v>64</v>
      </c>
      <c r="Z151" s="46" t="s">
        <v>160</v>
      </c>
      <c r="AA151" s="12" t="s">
        <v>161</v>
      </c>
      <c r="AB151" s="46">
        <v>0</v>
      </c>
      <c r="AD151" s="46" t="s">
        <v>67</v>
      </c>
      <c r="AE151" s="46">
        <v>21</v>
      </c>
    </row>
    <row r="152" spans="1:31" x14ac:dyDescent="0.25">
      <c r="A152" s="46" t="s">
        <v>57</v>
      </c>
      <c r="B152" s="46" t="s">
        <v>58</v>
      </c>
      <c r="C152" s="12" t="s">
        <v>306</v>
      </c>
      <c r="D152" s="46">
        <v>29951930</v>
      </c>
      <c r="E152" s="47">
        <v>45232</v>
      </c>
      <c r="F152" s="47">
        <v>45232</v>
      </c>
      <c r="G152" s="46">
        <v>1</v>
      </c>
      <c r="H152" s="47">
        <v>45246</v>
      </c>
      <c r="I152" s="47">
        <v>45259</v>
      </c>
      <c r="J152" s="46">
        <v>13</v>
      </c>
      <c r="K152" s="47">
        <v>45139</v>
      </c>
      <c r="L152" s="47">
        <v>45291</v>
      </c>
      <c r="M152" s="46">
        <v>99223</v>
      </c>
      <c r="N152" s="12" t="s">
        <v>74</v>
      </c>
      <c r="O152" s="46" t="s">
        <v>61</v>
      </c>
      <c r="P152" s="46" t="s">
        <v>62</v>
      </c>
      <c r="Q152" s="46">
        <v>303</v>
      </c>
      <c r="R152" s="46">
        <v>303</v>
      </c>
      <c r="S152" s="46">
        <v>0</v>
      </c>
      <c r="T152" s="46">
        <v>0</v>
      </c>
      <c r="U152" s="48">
        <v>0</v>
      </c>
      <c r="V152" s="46" t="s">
        <v>44</v>
      </c>
      <c r="W152" s="46">
        <v>223375434</v>
      </c>
      <c r="X152" s="46" t="s">
        <v>339</v>
      </c>
      <c r="Y152" s="46" t="s">
        <v>64</v>
      </c>
      <c r="Z152" s="46" t="s">
        <v>160</v>
      </c>
      <c r="AA152" s="12" t="s">
        <v>161</v>
      </c>
      <c r="AB152" s="46">
        <v>0</v>
      </c>
      <c r="AD152" s="46" t="s">
        <v>67</v>
      </c>
      <c r="AE152" s="46">
        <v>21</v>
      </c>
    </row>
    <row r="153" spans="1:31" x14ac:dyDescent="0.25">
      <c r="A153" s="46" t="s">
        <v>57</v>
      </c>
      <c r="B153" s="46" t="s">
        <v>58</v>
      </c>
      <c r="C153" s="12" t="s">
        <v>306</v>
      </c>
      <c r="D153" s="46">
        <v>29951930</v>
      </c>
      <c r="E153" s="47">
        <v>45233</v>
      </c>
      <c r="F153" s="47">
        <v>45233</v>
      </c>
      <c r="G153" s="46">
        <v>1</v>
      </c>
      <c r="H153" s="47">
        <v>45246</v>
      </c>
      <c r="I153" s="47">
        <v>45259</v>
      </c>
      <c r="J153" s="46">
        <v>13</v>
      </c>
      <c r="K153" s="47">
        <v>45139</v>
      </c>
      <c r="L153" s="47">
        <v>45291</v>
      </c>
      <c r="M153" s="46">
        <v>99239</v>
      </c>
      <c r="N153" s="12" t="s">
        <v>73</v>
      </c>
      <c r="O153" s="46" t="s">
        <v>61</v>
      </c>
      <c r="P153" s="46" t="s">
        <v>62</v>
      </c>
      <c r="Q153" s="46">
        <v>176</v>
      </c>
      <c r="R153" s="46">
        <v>0</v>
      </c>
      <c r="S153" s="46">
        <v>103.85</v>
      </c>
      <c r="T153" s="46">
        <v>72.150000000000006</v>
      </c>
      <c r="U153" s="48">
        <v>0.59</v>
      </c>
      <c r="V153" s="46" t="s">
        <v>44</v>
      </c>
      <c r="W153" s="46">
        <v>223375434</v>
      </c>
      <c r="X153" s="46" t="s">
        <v>339</v>
      </c>
      <c r="Y153" s="46" t="s">
        <v>64</v>
      </c>
      <c r="Z153" s="46" t="s">
        <v>160</v>
      </c>
      <c r="AA153" s="12" t="s">
        <v>161</v>
      </c>
      <c r="AB153" s="46">
        <v>0</v>
      </c>
      <c r="AD153" s="46" t="s">
        <v>67</v>
      </c>
      <c r="AE153" s="46">
        <v>21</v>
      </c>
    </row>
    <row r="154" spans="1:31" x14ac:dyDescent="0.25">
      <c r="A154" s="46" t="s">
        <v>57</v>
      </c>
      <c r="B154" s="46" t="s">
        <v>58</v>
      </c>
      <c r="C154" s="12" t="s">
        <v>306</v>
      </c>
      <c r="D154" s="46">
        <v>29951930</v>
      </c>
      <c r="E154" s="47">
        <v>45231</v>
      </c>
      <c r="F154" s="47">
        <v>45231</v>
      </c>
      <c r="G154" s="46">
        <v>1</v>
      </c>
      <c r="H154" s="47">
        <v>45260</v>
      </c>
      <c r="I154" s="47">
        <v>45273</v>
      </c>
      <c r="J154" s="46">
        <v>13</v>
      </c>
      <c r="K154" s="47">
        <v>45139</v>
      </c>
      <c r="L154" s="47">
        <v>45291</v>
      </c>
      <c r="M154" s="46">
        <v>93010</v>
      </c>
      <c r="N154" s="12" t="s">
        <v>310</v>
      </c>
      <c r="O154" s="46" t="s">
        <v>61</v>
      </c>
      <c r="P154" s="46" t="s">
        <v>62</v>
      </c>
      <c r="Q154" s="46">
        <v>15</v>
      </c>
      <c r="R154" s="46">
        <v>0</v>
      </c>
      <c r="S154" s="46">
        <v>8.58</v>
      </c>
      <c r="T154" s="46">
        <v>6.42</v>
      </c>
      <c r="U154" s="48">
        <v>0.57199999999999995</v>
      </c>
      <c r="V154" s="46" t="s">
        <v>44</v>
      </c>
      <c r="W154" s="46">
        <v>223396493</v>
      </c>
      <c r="X154" s="46" t="s">
        <v>340</v>
      </c>
      <c r="Y154" s="46" t="s">
        <v>64</v>
      </c>
      <c r="Z154" s="46" t="s">
        <v>312</v>
      </c>
      <c r="AA154" s="12" t="s">
        <v>313</v>
      </c>
      <c r="AB154" s="46">
        <v>0</v>
      </c>
      <c r="AD154" s="46" t="s">
        <v>67</v>
      </c>
      <c r="AE154" s="46">
        <v>21</v>
      </c>
    </row>
    <row r="155" spans="1:31" x14ac:dyDescent="0.25">
      <c r="A155" s="46" t="s">
        <v>57</v>
      </c>
      <c r="B155" s="46" t="s">
        <v>58</v>
      </c>
      <c r="C155" s="12" t="s">
        <v>306</v>
      </c>
      <c r="D155" s="46">
        <v>29198314</v>
      </c>
      <c r="E155" s="47">
        <v>45168</v>
      </c>
      <c r="F155" s="47">
        <v>45168</v>
      </c>
      <c r="G155" s="46">
        <v>1</v>
      </c>
      <c r="H155" s="47">
        <v>45182</v>
      </c>
      <c r="I155" s="47">
        <v>45203</v>
      </c>
      <c r="J155" s="46">
        <v>21</v>
      </c>
      <c r="K155" s="47">
        <v>45139</v>
      </c>
      <c r="L155" s="47">
        <v>45291</v>
      </c>
      <c r="M155" s="46">
        <v>99239</v>
      </c>
      <c r="N155" s="12" t="s">
        <v>73</v>
      </c>
      <c r="O155" s="46" t="s">
        <v>61</v>
      </c>
      <c r="P155" s="46" t="s">
        <v>62</v>
      </c>
      <c r="Q155" s="46">
        <v>176</v>
      </c>
      <c r="R155" s="46">
        <v>0</v>
      </c>
      <c r="S155" s="46">
        <v>103.85</v>
      </c>
      <c r="T155" s="46">
        <v>72.150000000000006</v>
      </c>
      <c r="U155" s="48">
        <v>0.59</v>
      </c>
      <c r="V155" s="46" t="s">
        <v>44</v>
      </c>
      <c r="W155" s="46">
        <v>223282651</v>
      </c>
      <c r="X155" s="46" t="s">
        <v>341</v>
      </c>
      <c r="Y155" s="46" t="s">
        <v>64</v>
      </c>
      <c r="Z155" s="46" t="s">
        <v>342</v>
      </c>
      <c r="AA155" s="12" t="s">
        <v>343</v>
      </c>
      <c r="AB155" s="46">
        <v>0</v>
      </c>
      <c r="AD155" s="46" t="s">
        <v>67</v>
      </c>
      <c r="AE155" s="46">
        <v>21</v>
      </c>
    </row>
    <row r="156" spans="1:31" x14ac:dyDescent="0.25">
      <c r="A156" s="46" t="s">
        <v>57</v>
      </c>
      <c r="B156" s="46" t="s">
        <v>58</v>
      </c>
      <c r="C156" s="12" t="s">
        <v>306</v>
      </c>
      <c r="D156" s="46">
        <v>29198314</v>
      </c>
      <c r="E156" s="47">
        <v>45164</v>
      </c>
      <c r="F156" s="47">
        <v>45164</v>
      </c>
      <c r="G156" s="46">
        <v>1</v>
      </c>
      <c r="H156" s="47">
        <v>45182</v>
      </c>
      <c r="I156" s="47">
        <v>45203</v>
      </c>
      <c r="J156" s="46">
        <v>21</v>
      </c>
      <c r="K156" s="47">
        <v>45139</v>
      </c>
      <c r="L156" s="47">
        <v>45291</v>
      </c>
      <c r="M156" s="46">
        <v>99223</v>
      </c>
      <c r="N156" s="12" t="s">
        <v>74</v>
      </c>
      <c r="O156" s="46" t="s">
        <v>61</v>
      </c>
      <c r="P156" s="46" t="s">
        <v>62</v>
      </c>
      <c r="Q156" s="46">
        <v>303</v>
      </c>
      <c r="R156" s="46">
        <v>0</v>
      </c>
      <c r="S156" s="46">
        <v>182.86</v>
      </c>
      <c r="T156" s="46">
        <v>120.14</v>
      </c>
      <c r="U156" s="48">
        <v>0.60340000000000005</v>
      </c>
      <c r="V156" s="46" t="s">
        <v>44</v>
      </c>
      <c r="W156" s="46">
        <v>223282680</v>
      </c>
      <c r="X156" s="46" t="s">
        <v>344</v>
      </c>
      <c r="Y156" s="46" t="s">
        <v>64</v>
      </c>
      <c r="Z156" s="46" t="s">
        <v>113</v>
      </c>
      <c r="AA156" s="12" t="s">
        <v>114</v>
      </c>
      <c r="AB156" s="46">
        <v>0</v>
      </c>
      <c r="AD156" s="46" t="s">
        <v>67</v>
      </c>
      <c r="AE156" s="46">
        <v>21</v>
      </c>
    </row>
    <row r="157" spans="1:31" x14ac:dyDescent="0.25">
      <c r="A157" s="46" t="s">
        <v>57</v>
      </c>
      <c r="B157" s="46" t="s">
        <v>58</v>
      </c>
      <c r="C157" s="12" t="s">
        <v>306</v>
      </c>
      <c r="D157" s="46">
        <v>29198314</v>
      </c>
      <c r="E157" s="47">
        <v>45165</v>
      </c>
      <c r="F157" s="47">
        <v>45165</v>
      </c>
      <c r="G157" s="46">
        <v>1</v>
      </c>
      <c r="H157" s="47">
        <v>45182</v>
      </c>
      <c r="I157" s="47">
        <v>45203</v>
      </c>
      <c r="J157" s="46">
        <v>21</v>
      </c>
      <c r="K157" s="47">
        <v>45139</v>
      </c>
      <c r="L157" s="47">
        <v>45291</v>
      </c>
      <c r="M157" s="46">
        <v>99233</v>
      </c>
      <c r="N157" s="12" t="s">
        <v>71</v>
      </c>
      <c r="O157" s="46" t="s">
        <v>61</v>
      </c>
      <c r="P157" s="46" t="s">
        <v>62</v>
      </c>
      <c r="Q157" s="46">
        <v>171</v>
      </c>
      <c r="R157" s="46">
        <v>0</v>
      </c>
      <c r="S157" s="46">
        <v>109.83</v>
      </c>
      <c r="T157" s="46">
        <v>61.17</v>
      </c>
      <c r="U157" s="48">
        <v>0.64219999999999999</v>
      </c>
      <c r="V157" s="46" t="s">
        <v>44</v>
      </c>
      <c r="W157" s="46">
        <v>223282680</v>
      </c>
      <c r="X157" s="46" t="s">
        <v>344</v>
      </c>
      <c r="Y157" s="46" t="s">
        <v>64</v>
      </c>
      <c r="Z157" s="46" t="s">
        <v>113</v>
      </c>
      <c r="AA157" s="12" t="s">
        <v>114</v>
      </c>
      <c r="AB157" s="46">
        <v>0</v>
      </c>
      <c r="AD157" s="46" t="s">
        <v>67</v>
      </c>
      <c r="AE157" s="46">
        <v>21</v>
      </c>
    </row>
    <row r="158" spans="1:31" x14ac:dyDescent="0.25">
      <c r="A158" s="46" t="s">
        <v>57</v>
      </c>
      <c r="B158" s="46" t="s">
        <v>58</v>
      </c>
      <c r="C158" s="12" t="s">
        <v>306</v>
      </c>
      <c r="D158" s="46">
        <v>29198314</v>
      </c>
      <c r="E158" s="47">
        <v>45166</v>
      </c>
      <c r="F158" s="47">
        <v>45166</v>
      </c>
      <c r="G158" s="46">
        <v>1</v>
      </c>
      <c r="H158" s="47">
        <v>45182</v>
      </c>
      <c r="I158" s="47">
        <v>45203</v>
      </c>
      <c r="J158" s="46">
        <v>21</v>
      </c>
      <c r="K158" s="47">
        <v>45139</v>
      </c>
      <c r="L158" s="47">
        <v>45291</v>
      </c>
      <c r="M158" s="46">
        <v>99233</v>
      </c>
      <c r="N158" s="12" t="s">
        <v>71</v>
      </c>
      <c r="O158" s="46" t="s">
        <v>61</v>
      </c>
      <c r="P158" s="46" t="s">
        <v>62</v>
      </c>
      <c r="Q158" s="46">
        <v>171</v>
      </c>
      <c r="R158" s="46">
        <v>0</v>
      </c>
      <c r="S158" s="46">
        <v>109.83</v>
      </c>
      <c r="T158" s="46">
        <v>61.17</v>
      </c>
      <c r="U158" s="48">
        <v>0.64219999999999999</v>
      </c>
      <c r="V158" s="46" t="s">
        <v>44</v>
      </c>
      <c r="W158" s="46">
        <v>223282680</v>
      </c>
      <c r="X158" s="46" t="s">
        <v>344</v>
      </c>
      <c r="Y158" s="46" t="s">
        <v>64</v>
      </c>
      <c r="Z158" s="46" t="s">
        <v>113</v>
      </c>
      <c r="AA158" s="12" t="s">
        <v>114</v>
      </c>
      <c r="AB158" s="46">
        <v>0</v>
      </c>
      <c r="AD158" s="46" t="s">
        <v>67</v>
      </c>
      <c r="AE158" s="46">
        <v>21</v>
      </c>
    </row>
    <row r="159" spans="1:31" x14ac:dyDescent="0.25">
      <c r="A159" s="46" t="s">
        <v>57</v>
      </c>
      <c r="B159" s="46" t="s">
        <v>58</v>
      </c>
      <c r="C159" s="12" t="s">
        <v>306</v>
      </c>
      <c r="D159" s="46">
        <v>29198314</v>
      </c>
      <c r="E159" s="47">
        <v>45167</v>
      </c>
      <c r="F159" s="47">
        <v>45167</v>
      </c>
      <c r="G159" s="46">
        <v>1</v>
      </c>
      <c r="H159" s="47">
        <v>45182</v>
      </c>
      <c r="I159" s="47">
        <v>45203</v>
      </c>
      <c r="J159" s="46">
        <v>21</v>
      </c>
      <c r="K159" s="47">
        <v>45139</v>
      </c>
      <c r="L159" s="47">
        <v>45291</v>
      </c>
      <c r="M159" s="46">
        <v>99233</v>
      </c>
      <c r="N159" s="12" t="s">
        <v>71</v>
      </c>
      <c r="O159" s="46" t="s">
        <v>61</v>
      </c>
      <c r="P159" s="46" t="s">
        <v>62</v>
      </c>
      <c r="Q159" s="46">
        <v>171</v>
      </c>
      <c r="R159" s="46">
        <v>0</v>
      </c>
      <c r="S159" s="46">
        <v>109.83</v>
      </c>
      <c r="T159" s="46">
        <v>61.17</v>
      </c>
      <c r="U159" s="48">
        <v>0.64219999999999999</v>
      </c>
      <c r="V159" s="46" t="s">
        <v>44</v>
      </c>
      <c r="W159" s="46">
        <v>223282680</v>
      </c>
      <c r="X159" s="46" t="s">
        <v>344</v>
      </c>
      <c r="Y159" s="46" t="s">
        <v>64</v>
      </c>
      <c r="Z159" s="46" t="s">
        <v>113</v>
      </c>
      <c r="AA159" s="12" t="s">
        <v>114</v>
      </c>
      <c r="AB159" s="46">
        <v>0</v>
      </c>
      <c r="AD159" s="46" t="s">
        <v>67</v>
      </c>
      <c r="AE159" s="46">
        <v>21</v>
      </c>
    </row>
    <row r="160" spans="1:31" x14ac:dyDescent="0.25">
      <c r="A160" s="46" t="s">
        <v>57</v>
      </c>
      <c r="B160" s="46" t="s">
        <v>58</v>
      </c>
      <c r="C160" s="12" t="s">
        <v>306</v>
      </c>
      <c r="D160" s="46">
        <v>29174222</v>
      </c>
      <c r="E160" s="47">
        <v>45162</v>
      </c>
      <c r="F160" s="47">
        <v>45162</v>
      </c>
      <c r="G160" s="46">
        <v>1</v>
      </c>
      <c r="H160" s="47">
        <v>45202</v>
      </c>
      <c r="I160" s="47">
        <v>45224</v>
      </c>
      <c r="J160" s="46">
        <v>22</v>
      </c>
      <c r="K160" s="47">
        <v>45139</v>
      </c>
      <c r="L160" s="47">
        <v>45291</v>
      </c>
      <c r="M160" s="46">
        <v>93010</v>
      </c>
      <c r="N160" s="12" t="s">
        <v>310</v>
      </c>
      <c r="O160" s="46" t="s">
        <v>61</v>
      </c>
      <c r="P160" s="46" t="s">
        <v>62</v>
      </c>
      <c r="Q160" s="46">
        <v>15</v>
      </c>
      <c r="R160" s="46">
        <v>0</v>
      </c>
      <c r="S160" s="46">
        <v>8.58</v>
      </c>
      <c r="T160" s="46">
        <v>6.42</v>
      </c>
      <c r="U160" s="48">
        <v>0.57199999999999995</v>
      </c>
      <c r="V160" s="46" t="s">
        <v>44</v>
      </c>
      <c r="W160" s="46">
        <v>223305549</v>
      </c>
      <c r="X160" s="46" t="s">
        <v>345</v>
      </c>
      <c r="Y160" s="46" t="s">
        <v>64</v>
      </c>
      <c r="Z160" s="46" t="s">
        <v>346</v>
      </c>
      <c r="AA160" s="12" t="s">
        <v>347</v>
      </c>
      <c r="AB160" s="46">
        <v>0</v>
      </c>
      <c r="AD160" s="46" t="s">
        <v>67</v>
      </c>
      <c r="AE160" s="46">
        <v>23</v>
      </c>
    </row>
    <row r="161" spans="1:31" x14ac:dyDescent="0.25">
      <c r="A161" s="46" t="s">
        <v>57</v>
      </c>
      <c r="B161" s="46" t="s">
        <v>58</v>
      </c>
      <c r="C161" s="12" t="s">
        <v>306</v>
      </c>
      <c r="D161" s="46">
        <v>29198314</v>
      </c>
      <c r="E161" s="47">
        <v>45167</v>
      </c>
      <c r="F161" s="47">
        <v>45167</v>
      </c>
      <c r="G161" s="46">
        <v>1</v>
      </c>
      <c r="H161" s="47">
        <v>45238</v>
      </c>
      <c r="I161" s="47">
        <v>45252</v>
      </c>
      <c r="J161" s="46">
        <v>14</v>
      </c>
      <c r="K161" s="47">
        <v>45139</v>
      </c>
      <c r="L161" s="47">
        <v>45291</v>
      </c>
      <c r="M161" s="46">
        <v>99233</v>
      </c>
      <c r="N161" s="12" t="s">
        <v>71</v>
      </c>
      <c r="O161" s="46" t="s">
        <v>61</v>
      </c>
      <c r="P161" s="46" t="s">
        <v>62</v>
      </c>
      <c r="Q161" s="46">
        <v>171</v>
      </c>
      <c r="R161" s="46">
        <v>0</v>
      </c>
      <c r="S161" s="46">
        <v>109.83</v>
      </c>
      <c r="T161" s="46">
        <v>61.17</v>
      </c>
      <c r="U161" s="48">
        <v>0.64219999999999999</v>
      </c>
      <c r="V161" s="46" t="s">
        <v>44</v>
      </c>
      <c r="W161" s="46">
        <v>223363040</v>
      </c>
      <c r="X161" s="46" t="s">
        <v>348</v>
      </c>
      <c r="Y161" s="46" t="s">
        <v>64</v>
      </c>
      <c r="Z161" s="46" t="s">
        <v>113</v>
      </c>
      <c r="AA161" s="12" t="s">
        <v>114</v>
      </c>
      <c r="AB161" s="46">
        <v>0</v>
      </c>
      <c r="AD161" s="46" t="s">
        <v>67</v>
      </c>
      <c r="AE161" s="46">
        <v>21</v>
      </c>
    </row>
    <row r="162" spans="1:31" x14ac:dyDescent="0.25">
      <c r="A162" s="46" t="s">
        <v>57</v>
      </c>
      <c r="B162" s="46" t="s">
        <v>58</v>
      </c>
      <c r="C162" s="12" t="s">
        <v>306</v>
      </c>
      <c r="D162" s="46">
        <v>29198314</v>
      </c>
      <c r="E162" s="47">
        <v>45168</v>
      </c>
      <c r="F162" s="47">
        <v>45168</v>
      </c>
      <c r="G162" s="46">
        <v>1</v>
      </c>
      <c r="H162" s="47">
        <v>45238</v>
      </c>
      <c r="I162" s="47">
        <v>45252</v>
      </c>
      <c r="J162" s="46">
        <v>14</v>
      </c>
      <c r="K162" s="47">
        <v>45139</v>
      </c>
      <c r="L162" s="47">
        <v>45291</v>
      </c>
      <c r="M162" s="46">
        <v>99239</v>
      </c>
      <c r="N162" s="12" t="s">
        <v>73</v>
      </c>
      <c r="O162" s="46" t="s">
        <v>61</v>
      </c>
      <c r="P162" s="46" t="s">
        <v>62</v>
      </c>
      <c r="Q162" s="46">
        <v>176</v>
      </c>
      <c r="R162" s="46">
        <v>176</v>
      </c>
      <c r="S162" s="46">
        <v>0</v>
      </c>
      <c r="T162" s="46">
        <v>0</v>
      </c>
      <c r="U162" s="48">
        <v>0</v>
      </c>
      <c r="V162" s="46" t="s">
        <v>44</v>
      </c>
      <c r="W162" s="46">
        <v>223363040</v>
      </c>
      <c r="X162" s="46" t="s">
        <v>348</v>
      </c>
      <c r="Y162" s="46" t="s">
        <v>64</v>
      </c>
      <c r="Z162" s="46" t="s">
        <v>113</v>
      </c>
      <c r="AA162" s="12" t="s">
        <v>114</v>
      </c>
      <c r="AB162" s="46">
        <v>0</v>
      </c>
      <c r="AD162" s="46" t="s">
        <v>67</v>
      </c>
      <c r="AE162" s="46">
        <v>21</v>
      </c>
    </row>
    <row r="163" spans="1:31" x14ac:dyDescent="0.25">
      <c r="A163" s="46" t="s">
        <v>57</v>
      </c>
      <c r="B163" s="46" t="s">
        <v>58</v>
      </c>
      <c r="C163" s="12" t="s">
        <v>306</v>
      </c>
      <c r="D163" s="46">
        <v>29174222</v>
      </c>
      <c r="E163" s="47">
        <v>45162</v>
      </c>
      <c r="F163" s="47">
        <v>45162</v>
      </c>
      <c r="G163" s="46">
        <v>1</v>
      </c>
      <c r="H163" s="47">
        <v>45238</v>
      </c>
      <c r="I163" s="47">
        <v>45252</v>
      </c>
      <c r="J163" s="46">
        <v>14</v>
      </c>
      <c r="K163" s="47">
        <v>45139</v>
      </c>
      <c r="L163" s="47">
        <v>45291</v>
      </c>
      <c r="M163" s="46">
        <v>93010</v>
      </c>
      <c r="N163" s="12" t="s">
        <v>310</v>
      </c>
      <c r="O163" s="46" t="s">
        <v>61</v>
      </c>
      <c r="P163" s="46" t="s">
        <v>62</v>
      </c>
      <c r="Q163" s="46">
        <v>15</v>
      </c>
      <c r="R163" s="46">
        <v>0</v>
      </c>
      <c r="S163" s="46">
        <v>8.58</v>
      </c>
      <c r="T163" s="46">
        <v>6.42</v>
      </c>
      <c r="U163" s="48">
        <v>0.57199999999999995</v>
      </c>
      <c r="V163" s="46" t="s">
        <v>44</v>
      </c>
      <c r="W163" s="46">
        <v>223363043</v>
      </c>
      <c r="X163" s="46" t="s">
        <v>349</v>
      </c>
      <c r="Y163" s="46" t="s">
        <v>64</v>
      </c>
      <c r="Z163" s="46" t="s">
        <v>346</v>
      </c>
      <c r="AA163" s="12" t="s">
        <v>347</v>
      </c>
      <c r="AB163" s="46">
        <v>0</v>
      </c>
      <c r="AD163" s="46" t="s">
        <v>67</v>
      </c>
      <c r="AE163" s="46">
        <v>23</v>
      </c>
    </row>
    <row r="164" spans="1:31" x14ac:dyDescent="0.25">
      <c r="A164" s="46" t="s">
        <v>57</v>
      </c>
      <c r="B164" s="46" t="s">
        <v>58</v>
      </c>
      <c r="C164" s="12" t="s">
        <v>306</v>
      </c>
      <c r="D164" s="46">
        <v>29198314</v>
      </c>
      <c r="E164" s="47">
        <v>45164</v>
      </c>
      <c r="F164" s="47">
        <v>45164</v>
      </c>
      <c r="G164" s="46">
        <v>1</v>
      </c>
      <c r="H164" s="47">
        <v>45238</v>
      </c>
      <c r="I164" s="47">
        <v>45252</v>
      </c>
      <c r="J164" s="46">
        <v>14</v>
      </c>
      <c r="K164" s="47">
        <v>45139</v>
      </c>
      <c r="L164" s="47">
        <v>45291</v>
      </c>
      <c r="M164" s="46">
        <v>99223</v>
      </c>
      <c r="N164" s="12" t="s">
        <v>74</v>
      </c>
      <c r="O164" s="46" t="s">
        <v>61</v>
      </c>
      <c r="P164" s="46" t="s">
        <v>62</v>
      </c>
      <c r="Q164" s="46">
        <v>303</v>
      </c>
      <c r="R164" s="46">
        <v>303</v>
      </c>
      <c r="S164" s="46">
        <v>0</v>
      </c>
      <c r="T164" s="46">
        <v>0</v>
      </c>
      <c r="U164" s="48">
        <v>0</v>
      </c>
      <c r="V164" s="46" t="s">
        <v>44</v>
      </c>
      <c r="W164" s="46">
        <v>223363046</v>
      </c>
      <c r="X164" s="46" t="s">
        <v>350</v>
      </c>
      <c r="Y164" s="46" t="s">
        <v>64</v>
      </c>
      <c r="Z164" s="46" t="s">
        <v>113</v>
      </c>
      <c r="AA164" s="12" t="s">
        <v>114</v>
      </c>
      <c r="AB164" s="46">
        <v>0</v>
      </c>
      <c r="AD164" s="46" t="s">
        <v>67</v>
      </c>
      <c r="AE164" s="46">
        <v>21</v>
      </c>
    </row>
    <row r="165" spans="1:31" x14ac:dyDescent="0.25">
      <c r="A165" s="46" t="s">
        <v>57</v>
      </c>
      <c r="B165" s="46" t="s">
        <v>58</v>
      </c>
      <c r="C165" s="12" t="s">
        <v>306</v>
      </c>
      <c r="D165" s="46">
        <v>29198314</v>
      </c>
      <c r="E165" s="47">
        <v>45165</v>
      </c>
      <c r="F165" s="47">
        <v>45165</v>
      </c>
      <c r="G165" s="46">
        <v>1</v>
      </c>
      <c r="H165" s="47">
        <v>45238</v>
      </c>
      <c r="I165" s="47">
        <v>45252</v>
      </c>
      <c r="J165" s="46">
        <v>14</v>
      </c>
      <c r="K165" s="47">
        <v>45139</v>
      </c>
      <c r="L165" s="47">
        <v>45291</v>
      </c>
      <c r="M165" s="46">
        <v>99233</v>
      </c>
      <c r="N165" s="12" t="s">
        <v>71</v>
      </c>
      <c r="O165" s="46" t="s">
        <v>61</v>
      </c>
      <c r="P165" s="46" t="s">
        <v>62</v>
      </c>
      <c r="Q165" s="46">
        <v>171</v>
      </c>
      <c r="R165" s="46">
        <v>171</v>
      </c>
      <c r="S165" s="46">
        <v>0</v>
      </c>
      <c r="T165" s="46">
        <v>0</v>
      </c>
      <c r="U165" s="48">
        <v>0</v>
      </c>
      <c r="V165" s="46" t="s">
        <v>44</v>
      </c>
      <c r="W165" s="46">
        <v>223363046</v>
      </c>
      <c r="X165" s="46" t="s">
        <v>350</v>
      </c>
      <c r="Y165" s="46" t="s">
        <v>64</v>
      </c>
      <c r="Z165" s="46" t="s">
        <v>113</v>
      </c>
      <c r="AA165" s="12" t="s">
        <v>114</v>
      </c>
      <c r="AB165" s="46">
        <v>0</v>
      </c>
      <c r="AD165" s="46" t="s">
        <v>67</v>
      </c>
      <c r="AE165" s="46">
        <v>21</v>
      </c>
    </row>
    <row r="166" spans="1:31" x14ac:dyDescent="0.25">
      <c r="A166" s="46" t="s">
        <v>57</v>
      </c>
      <c r="B166" s="46" t="s">
        <v>58</v>
      </c>
      <c r="C166" s="12" t="s">
        <v>306</v>
      </c>
      <c r="D166" s="46">
        <v>29198314</v>
      </c>
      <c r="E166" s="47">
        <v>45166</v>
      </c>
      <c r="F166" s="47">
        <v>45166</v>
      </c>
      <c r="G166" s="46">
        <v>1</v>
      </c>
      <c r="H166" s="47">
        <v>45238</v>
      </c>
      <c r="I166" s="47">
        <v>45252</v>
      </c>
      <c r="J166" s="46">
        <v>14</v>
      </c>
      <c r="K166" s="47">
        <v>45139</v>
      </c>
      <c r="L166" s="47">
        <v>45291</v>
      </c>
      <c r="M166" s="46">
        <v>99233</v>
      </c>
      <c r="N166" s="12" t="s">
        <v>71</v>
      </c>
      <c r="O166" s="46" t="s">
        <v>61</v>
      </c>
      <c r="P166" s="46" t="s">
        <v>62</v>
      </c>
      <c r="Q166" s="46">
        <v>171</v>
      </c>
      <c r="R166" s="46">
        <v>171</v>
      </c>
      <c r="S166" s="46">
        <v>0</v>
      </c>
      <c r="T166" s="46">
        <v>0</v>
      </c>
      <c r="U166" s="48">
        <v>0</v>
      </c>
      <c r="V166" s="46" t="s">
        <v>44</v>
      </c>
      <c r="W166" s="46">
        <v>223363046</v>
      </c>
      <c r="X166" s="46" t="s">
        <v>350</v>
      </c>
      <c r="Y166" s="46" t="s">
        <v>64</v>
      </c>
      <c r="Z166" s="46" t="s">
        <v>113</v>
      </c>
      <c r="AA166" s="12" t="s">
        <v>114</v>
      </c>
      <c r="AB166" s="46">
        <v>0</v>
      </c>
      <c r="AD166" s="46" t="s">
        <v>67</v>
      </c>
      <c r="AE166" s="46">
        <v>21</v>
      </c>
    </row>
    <row r="167" spans="1:31" x14ac:dyDescent="0.25">
      <c r="A167" s="46" t="s">
        <v>57</v>
      </c>
      <c r="B167" s="46" t="s">
        <v>58</v>
      </c>
      <c r="C167" s="12" t="s">
        <v>351</v>
      </c>
      <c r="D167" s="46">
        <v>29165106</v>
      </c>
      <c r="E167" s="47">
        <v>45175</v>
      </c>
      <c r="F167" s="47">
        <v>45175</v>
      </c>
      <c r="G167" s="46">
        <v>1</v>
      </c>
      <c r="H167" s="47">
        <v>45191</v>
      </c>
      <c r="I167" s="47">
        <v>45209</v>
      </c>
      <c r="J167" s="46">
        <v>18</v>
      </c>
      <c r="K167" s="47">
        <v>45139</v>
      </c>
      <c r="L167" s="47">
        <v>45291</v>
      </c>
      <c r="M167" s="46" t="s">
        <v>352</v>
      </c>
      <c r="N167" s="12" t="s">
        <v>353</v>
      </c>
      <c r="O167" s="46" t="s">
        <v>354</v>
      </c>
      <c r="P167" s="46" t="s">
        <v>355</v>
      </c>
      <c r="Q167" s="46">
        <v>113</v>
      </c>
      <c r="R167" s="46">
        <v>0</v>
      </c>
      <c r="S167" s="46">
        <v>0</v>
      </c>
      <c r="T167" s="46">
        <v>113</v>
      </c>
      <c r="U167" s="48">
        <v>0</v>
      </c>
      <c r="V167" s="46" t="s">
        <v>44</v>
      </c>
      <c r="W167" s="46">
        <v>223294835</v>
      </c>
      <c r="X167" s="46" t="s">
        <v>356</v>
      </c>
      <c r="Y167" s="46" t="s">
        <v>64</v>
      </c>
      <c r="AA167" s="12"/>
      <c r="AB167" s="46">
        <v>0</v>
      </c>
      <c r="AD167" s="46" t="s">
        <v>67</v>
      </c>
      <c r="AE167" s="46">
        <v>11</v>
      </c>
    </row>
    <row r="168" spans="1:31" x14ac:dyDescent="0.25">
      <c r="A168" s="46" t="s">
        <v>57</v>
      </c>
      <c r="B168" s="46" t="s">
        <v>58</v>
      </c>
      <c r="C168" s="12" t="s">
        <v>351</v>
      </c>
      <c r="D168" s="46">
        <v>29165106</v>
      </c>
      <c r="E168" s="47">
        <v>45175</v>
      </c>
      <c r="F168" s="47">
        <v>45175</v>
      </c>
      <c r="G168" s="46">
        <v>1</v>
      </c>
      <c r="H168" s="47">
        <v>45191</v>
      </c>
      <c r="I168" s="47">
        <v>45209</v>
      </c>
      <c r="J168" s="46">
        <v>18</v>
      </c>
      <c r="K168" s="47">
        <v>45139</v>
      </c>
      <c r="L168" s="47">
        <v>45291</v>
      </c>
      <c r="M168" s="46" t="s">
        <v>357</v>
      </c>
      <c r="N168" s="12"/>
      <c r="O168" s="46" t="s">
        <v>354</v>
      </c>
      <c r="P168" s="46" t="s">
        <v>355</v>
      </c>
      <c r="Q168" s="46">
        <v>75</v>
      </c>
      <c r="R168" s="46">
        <v>0</v>
      </c>
      <c r="S168" s="46">
        <v>0</v>
      </c>
      <c r="T168" s="46">
        <v>75</v>
      </c>
      <c r="U168" s="48">
        <v>0</v>
      </c>
      <c r="V168" s="46" t="s">
        <v>44</v>
      </c>
      <c r="W168" s="46">
        <v>223294835</v>
      </c>
      <c r="X168" s="46" t="s">
        <v>356</v>
      </c>
      <c r="Y168" s="46" t="s">
        <v>64</v>
      </c>
      <c r="AA168" s="12"/>
      <c r="AB168" s="46">
        <v>0</v>
      </c>
      <c r="AD168" s="46" t="s">
        <v>67</v>
      </c>
      <c r="AE168" s="46">
        <v>11</v>
      </c>
    </row>
    <row r="169" spans="1:31" x14ac:dyDescent="0.25">
      <c r="A169" s="46" t="s">
        <v>57</v>
      </c>
      <c r="B169" s="46" t="s">
        <v>58</v>
      </c>
      <c r="C169" s="12" t="s">
        <v>351</v>
      </c>
      <c r="D169" s="46">
        <v>29165106</v>
      </c>
      <c r="E169" s="47">
        <v>45175</v>
      </c>
      <c r="F169" s="47">
        <v>45175</v>
      </c>
      <c r="G169" s="46">
        <v>1</v>
      </c>
      <c r="H169" s="47">
        <v>45191</v>
      </c>
      <c r="I169" s="47">
        <v>45209</v>
      </c>
      <c r="J169" s="46">
        <v>18</v>
      </c>
      <c r="K169" s="47">
        <v>45139</v>
      </c>
      <c r="L169" s="47">
        <v>45291</v>
      </c>
      <c r="M169" s="46" t="s">
        <v>358</v>
      </c>
      <c r="N169" s="12" t="s">
        <v>359</v>
      </c>
      <c r="O169" s="46" t="s">
        <v>354</v>
      </c>
      <c r="P169" s="46" t="s">
        <v>355</v>
      </c>
      <c r="Q169" s="46">
        <v>337</v>
      </c>
      <c r="R169" s="46">
        <v>337</v>
      </c>
      <c r="S169" s="46">
        <v>0</v>
      </c>
      <c r="T169" s="46">
        <v>0</v>
      </c>
      <c r="U169" s="48">
        <v>0</v>
      </c>
      <c r="V169" s="46" t="s">
        <v>44</v>
      </c>
      <c r="W169" s="46">
        <v>223294835</v>
      </c>
      <c r="X169" s="46" t="s">
        <v>356</v>
      </c>
      <c r="Y169" s="46" t="s">
        <v>64</v>
      </c>
      <c r="AA169" s="12"/>
      <c r="AB169" s="46">
        <v>0</v>
      </c>
      <c r="AD169" s="46" t="s">
        <v>67</v>
      </c>
      <c r="AE169" s="46">
        <v>11</v>
      </c>
    </row>
    <row r="170" spans="1:31" x14ac:dyDescent="0.25">
      <c r="A170" s="46" t="s">
        <v>57</v>
      </c>
      <c r="B170" s="46" t="s">
        <v>58</v>
      </c>
      <c r="C170" s="12" t="s">
        <v>351</v>
      </c>
      <c r="D170" s="46">
        <v>29165106</v>
      </c>
      <c r="E170" s="47">
        <v>45175</v>
      </c>
      <c r="F170" s="47">
        <v>45175</v>
      </c>
      <c r="G170" s="46">
        <v>1</v>
      </c>
      <c r="H170" s="47">
        <v>45191</v>
      </c>
      <c r="I170" s="47">
        <v>45209</v>
      </c>
      <c r="J170" s="46">
        <v>18</v>
      </c>
      <c r="K170" s="47">
        <v>45139</v>
      </c>
      <c r="L170" s="47">
        <v>45291</v>
      </c>
      <c r="M170" s="46" t="s">
        <v>360</v>
      </c>
      <c r="N170" s="12" t="s">
        <v>361</v>
      </c>
      <c r="O170" s="46" t="s">
        <v>354</v>
      </c>
      <c r="P170" s="46" t="s">
        <v>355</v>
      </c>
      <c r="Q170" s="46">
        <v>346</v>
      </c>
      <c r="R170" s="46">
        <v>346</v>
      </c>
      <c r="S170" s="46">
        <v>0</v>
      </c>
      <c r="T170" s="46">
        <v>0</v>
      </c>
      <c r="U170" s="48">
        <v>0</v>
      </c>
      <c r="V170" s="46" t="s">
        <v>44</v>
      </c>
      <c r="W170" s="46">
        <v>223294835</v>
      </c>
      <c r="X170" s="46" t="s">
        <v>356</v>
      </c>
      <c r="Y170" s="46" t="s">
        <v>64</v>
      </c>
      <c r="AA170" s="12"/>
      <c r="AB170" s="46">
        <v>0</v>
      </c>
      <c r="AD170" s="46" t="s">
        <v>67</v>
      </c>
      <c r="AE170" s="46">
        <v>11</v>
      </c>
    </row>
    <row r="171" spans="1:31" x14ac:dyDescent="0.25">
      <c r="A171" s="46" t="s">
        <v>57</v>
      </c>
      <c r="B171" s="46" t="s">
        <v>58</v>
      </c>
      <c r="C171" s="12" t="s">
        <v>351</v>
      </c>
      <c r="D171" s="46">
        <v>29165106</v>
      </c>
      <c r="E171" s="47">
        <v>45175</v>
      </c>
      <c r="F171" s="47">
        <v>45175</v>
      </c>
      <c r="G171" s="46">
        <v>1</v>
      </c>
      <c r="H171" s="47">
        <v>45191</v>
      </c>
      <c r="I171" s="47">
        <v>45209</v>
      </c>
      <c r="J171" s="46">
        <v>18</v>
      </c>
      <c r="K171" s="47">
        <v>45139</v>
      </c>
      <c r="L171" s="47">
        <v>45291</v>
      </c>
      <c r="M171" s="46" t="s">
        <v>360</v>
      </c>
      <c r="N171" s="12" t="s">
        <v>361</v>
      </c>
      <c r="O171" s="46" t="s">
        <v>354</v>
      </c>
      <c r="P171" s="46" t="s">
        <v>355</v>
      </c>
      <c r="Q171" s="46">
        <v>346</v>
      </c>
      <c r="R171" s="46">
        <v>346</v>
      </c>
      <c r="S171" s="46">
        <v>0</v>
      </c>
      <c r="T171" s="46">
        <v>0</v>
      </c>
      <c r="U171" s="48">
        <v>0</v>
      </c>
      <c r="V171" s="46" t="s">
        <v>44</v>
      </c>
      <c r="W171" s="46">
        <v>223294835</v>
      </c>
      <c r="X171" s="46" t="s">
        <v>356</v>
      </c>
      <c r="Y171" s="46" t="s">
        <v>64</v>
      </c>
      <c r="AA171" s="12"/>
      <c r="AB171" s="46">
        <v>0</v>
      </c>
      <c r="AD171" s="46" t="s">
        <v>67</v>
      </c>
      <c r="AE171" s="46">
        <v>11</v>
      </c>
    </row>
    <row r="172" spans="1:31" x14ac:dyDescent="0.25">
      <c r="A172" s="46" t="s">
        <v>57</v>
      </c>
      <c r="B172" s="46" t="s">
        <v>58</v>
      </c>
      <c r="C172" s="12" t="s">
        <v>351</v>
      </c>
      <c r="D172" s="46">
        <v>29165106</v>
      </c>
      <c r="E172" s="47">
        <v>45175</v>
      </c>
      <c r="F172" s="47">
        <v>45175</v>
      </c>
      <c r="G172" s="46">
        <v>1</v>
      </c>
      <c r="H172" s="47">
        <v>45191</v>
      </c>
      <c r="I172" s="47">
        <v>45209</v>
      </c>
      <c r="J172" s="46">
        <v>18</v>
      </c>
      <c r="K172" s="47">
        <v>45139</v>
      </c>
      <c r="L172" s="47">
        <v>45291</v>
      </c>
      <c r="M172" s="46" t="s">
        <v>358</v>
      </c>
      <c r="N172" s="12" t="s">
        <v>359</v>
      </c>
      <c r="O172" s="46" t="s">
        <v>354</v>
      </c>
      <c r="P172" s="46" t="s">
        <v>355</v>
      </c>
      <c r="Q172" s="46">
        <v>337</v>
      </c>
      <c r="R172" s="46">
        <v>337</v>
      </c>
      <c r="S172" s="46">
        <v>0</v>
      </c>
      <c r="T172" s="46">
        <v>0</v>
      </c>
      <c r="U172" s="48">
        <v>0</v>
      </c>
      <c r="V172" s="46" t="s">
        <v>44</v>
      </c>
      <c r="W172" s="46">
        <v>223294835</v>
      </c>
      <c r="X172" s="46" t="s">
        <v>356</v>
      </c>
      <c r="Y172" s="46" t="s">
        <v>64</v>
      </c>
      <c r="AA172" s="12"/>
      <c r="AB172" s="46">
        <v>0</v>
      </c>
      <c r="AD172" s="46" t="s">
        <v>67</v>
      </c>
      <c r="AE172" s="46">
        <v>11</v>
      </c>
    </row>
    <row r="173" spans="1:31" x14ac:dyDescent="0.25">
      <c r="A173" s="46" t="s">
        <v>57</v>
      </c>
      <c r="B173" s="46" t="s">
        <v>58</v>
      </c>
      <c r="C173" s="12" t="s">
        <v>351</v>
      </c>
      <c r="D173" s="46">
        <v>29165106</v>
      </c>
      <c r="E173" s="47">
        <v>45175</v>
      </c>
      <c r="F173" s="47">
        <v>45175</v>
      </c>
      <c r="G173" s="46">
        <v>1</v>
      </c>
      <c r="H173" s="47">
        <v>45191</v>
      </c>
      <c r="I173" s="47">
        <v>45209</v>
      </c>
      <c r="J173" s="46">
        <v>18</v>
      </c>
      <c r="K173" s="47">
        <v>45139</v>
      </c>
      <c r="L173" s="47">
        <v>45291</v>
      </c>
      <c r="M173" s="46" t="s">
        <v>362</v>
      </c>
      <c r="N173" s="12"/>
      <c r="O173" s="46" t="s">
        <v>354</v>
      </c>
      <c r="P173" s="46" t="s">
        <v>355</v>
      </c>
      <c r="Q173" s="46">
        <v>452</v>
      </c>
      <c r="R173" s="46">
        <v>0</v>
      </c>
      <c r="S173" s="46">
        <v>0</v>
      </c>
      <c r="T173" s="46">
        <v>452</v>
      </c>
      <c r="U173" s="48">
        <v>0</v>
      </c>
      <c r="V173" s="46" t="s">
        <v>44</v>
      </c>
      <c r="W173" s="46">
        <v>223294835</v>
      </c>
      <c r="X173" s="46" t="s">
        <v>356</v>
      </c>
      <c r="Y173" s="46" t="s">
        <v>64</v>
      </c>
      <c r="AA173" s="12"/>
      <c r="AB173" s="46">
        <v>0</v>
      </c>
      <c r="AD173" s="46" t="s">
        <v>67</v>
      </c>
      <c r="AE173" s="46">
        <v>11</v>
      </c>
    </row>
    <row r="174" spans="1:31" x14ac:dyDescent="0.25">
      <c r="A174" s="46" t="s">
        <v>57</v>
      </c>
      <c r="B174" s="46" t="s">
        <v>58</v>
      </c>
      <c r="C174" s="12" t="s">
        <v>351</v>
      </c>
      <c r="D174" s="46">
        <v>29165106</v>
      </c>
      <c r="E174" s="47">
        <v>45175</v>
      </c>
      <c r="F174" s="47">
        <v>45175</v>
      </c>
      <c r="G174" s="46">
        <v>1</v>
      </c>
      <c r="H174" s="47">
        <v>45191</v>
      </c>
      <c r="I174" s="47">
        <v>45209</v>
      </c>
      <c r="J174" s="46">
        <v>18</v>
      </c>
      <c r="K174" s="47">
        <v>45139</v>
      </c>
      <c r="L174" s="47">
        <v>45291</v>
      </c>
      <c r="M174" s="46" t="s">
        <v>363</v>
      </c>
      <c r="N174" s="12" t="s">
        <v>364</v>
      </c>
      <c r="O174" s="46" t="s">
        <v>354</v>
      </c>
      <c r="P174" s="46" t="s">
        <v>355</v>
      </c>
      <c r="Q174" s="46">
        <v>193</v>
      </c>
      <c r="R174" s="46">
        <v>0</v>
      </c>
      <c r="S174" s="46">
        <v>0</v>
      </c>
      <c r="T174" s="46">
        <v>193</v>
      </c>
      <c r="U174" s="48">
        <v>0</v>
      </c>
      <c r="V174" s="46" t="s">
        <v>44</v>
      </c>
      <c r="W174" s="46">
        <v>223294835</v>
      </c>
      <c r="X174" s="46" t="s">
        <v>356</v>
      </c>
      <c r="Y174" s="46" t="s">
        <v>64</v>
      </c>
      <c r="AA174" s="12"/>
      <c r="AB174" s="46">
        <v>0</v>
      </c>
      <c r="AD174" s="46" t="s">
        <v>67</v>
      </c>
      <c r="AE174" s="46">
        <v>11</v>
      </c>
    </row>
    <row r="175" spans="1:31" x14ac:dyDescent="0.25">
      <c r="A175" s="46" t="s">
        <v>57</v>
      </c>
      <c r="B175" s="46" t="s">
        <v>58</v>
      </c>
      <c r="C175" s="12" t="s">
        <v>351</v>
      </c>
      <c r="D175" s="46">
        <v>29165106</v>
      </c>
      <c r="E175" s="47">
        <v>45175</v>
      </c>
      <c r="F175" s="47">
        <v>45175</v>
      </c>
      <c r="G175" s="46">
        <v>1</v>
      </c>
      <c r="H175" s="47">
        <v>45191</v>
      </c>
      <c r="I175" s="47">
        <v>45209</v>
      </c>
      <c r="J175" s="46">
        <v>18</v>
      </c>
      <c r="K175" s="47">
        <v>45139</v>
      </c>
      <c r="L175" s="47">
        <v>45291</v>
      </c>
      <c r="M175" s="46" t="s">
        <v>358</v>
      </c>
      <c r="N175" s="12" t="s">
        <v>359</v>
      </c>
      <c r="O175" s="46" t="s">
        <v>354</v>
      </c>
      <c r="P175" s="46" t="s">
        <v>355</v>
      </c>
      <c r="Q175" s="46">
        <v>337</v>
      </c>
      <c r="R175" s="46">
        <v>337</v>
      </c>
      <c r="S175" s="46">
        <v>0</v>
      </c>
      <c r="T175" s="46">
        <v>0</v>
      </c>
      <c r="U175" s="48">
        <v>0</v>
      </c>
      <c r="V175" s="46" t="s">
        <v>44</v>
      </c>
      <c r="W175" s="46">
        <v>223294835</v>
      </c>
      <c r="X175" s="46" t="s">
        <v>356</v>
      </c>
      <c r="Y175" s="46" t="s">
        <v>64</v>
      </c>
      <c r="AA175" s="12"/>
      <c r="AB175" s="46">
        <v>0</v>
      </c>
      <c r="AD175" s="46" t="s">
        <v>67</v>
      </c>
      <c r="AE175" s="46">
        <v>11</v>
      </c>
    </row>
    <row r="176" spans="1:31" x14ac:dyDescent="0.25">
      <c r="A176" s="46" t="s">
        <v>57</v>
      </c>
      <c r="B176" s="46" t="s">
        <v>58</v>
      </c>
      <c r="C176" s="12" t="s">
        <v>351</v>
      </c>
      <c r="D176" s="46">
        <v>29165106</v>
      </c>
      <c r="E176" s="47">
        <v>45175</v>
      </c>
      <c r="F176" s="47">
        <v>45175</v>
      </c>
      <c r="G176" s="46">
        <v>1</v>
      </c>
      <c r="H176" s="47">
        <v>45191</v>
      </c>
      <c r="I176" s="47">
        <v>45209</v>
      </c>
      <c r="J176" s="46">
        <v>18</v>
      </c>
      <c r="K176" s="47">
        <v>45139</v>
      </c>
      <c r="L176" s="47">
        <v>45291</v>
      </c>
      <c r="M176" s="46" t="s">
        <v>360</v>
      </c>
      <c r="N176" s="12" t="s">
        <v>361</v>
      </c>
      <c r="O176" s="46" t="s">
        <v>354</v>
      </c>
      <c r="P176" s="46" t="s">
        <v>355</v>
      </c>
      <c r="Q176" s="46">
        <v>346</v>
      </c>
      <c r="R176" s="46">
        <v>0</v>
      </c>
      <c r="S176" s="46">
        <v>0</v>
      </c>
      <c r="T176" s="46">
        <v>346</v>
      </c>
      <c r="U176" s="48">
        <v>0</v>
      </c>
      <c r="V176" s="46" t="s">
        <v>44</v>
      </c>
      <c r="W176" s="46">
        <v>223294835</v>
      </c>
      <c r="X176" s="46" t="s">
        <v>356</v>
      </c>
      <c r="Y176" s="46" t="s">
        <v>64</v>
      </c>
      <c r="AA176" s="12"/>
      <c r="AB176" s="46">
        <v>0</v>
      </c>
      <c r="AD176" s="46" t="s">
        <v>67</v>
      </c>
      <c r="AE176" s="46">
        <v>11</v>
      </c>
    </row>
    <row r="177" spans="1:31" x14ac:dyDescent="0.25">
      <c r="A177" s="46" t="s">
        <v>57</v>
      </c>
      <c r="B177" s="46" t="s">
        <v>58</v>
      </c>
      <c r="C177" s="12" t="s">
        <v>351</v>
      </c>
      <c r="D177" s="46">
        <v>29165106</v>
      </c>
      <c r="E177" s="47">
        <v>45175</v>
      </c>
      <c r="F177" s="47">
        <v>45175</v>
      </c>
      <c r="G177" s="46">
        <v>1</v>
      </c>
      <c r="H177" s="47">
        <v>45191</v>
      </c>
      <c r="I177" s="47">
        <v>45209</v>
      </c>
      <c r="J177" s="46">
        <v>18</v>
      </c>
      <c r="K177" s="47">
        <v>45139</v>
      </c>
      <c r="L177" s="47">
        <v>45291</v>
      </c>
      <c r="M177" s="46" t="s">
        <v>358</v>
      </c>
      <c r="N177" s="12" t="s">
        <v>359</v>
      </c>
      <c r="O177" s="46" t="s">
        <v>354</v>
      </c>
      <c r="P177" s="46" t="s">
        <v>355</v>
      </c>
      <c r="Q177" s="46">
        <v>337</v>
      </c>
      <c r="R177" s="46">
        <v>0</v>
      </c>
      <c r="S177" s="46">
        <v>0</v>
      </c>
      <c r="T177" s="46">
        <v>337</v>
      </c>
      <c r="U177" s="48">
        <v>0</v>
      </c>
      <c r="V177" s="46" t="s">
        <v>44</v>
      </c>
      <c r="W177" s="46">
        <v>223294835</v>
      </c>
      <c r="X177" s="46" t="s">
        <v>356</v>
      </c>
      <c r="Y177" s="46" t="s">
        <v>64</v>
      </c>
      <c r="AA177" s="12"/>
      <c r="AB177" s="46">
        <v>0</v>
      </c>
      <c r="AD177" s="46" t="s">
        <v>67</v>
      </c>
      <c r="AE177" s="46">
        <v>11</v>
      </c>
    </row>
    <row r="178" spans="1:31" x14ac:dyDescent="0.25">
      <c r="A178" s="46" t="s">
        <v>57</v>
      </c>
      <c r="B178" s="46" t="s">
        <v>58</v>
      </c>
      <c r="C178" s="12" t="s">
        <v>351</v>
      </c>
      <c r="D178" s="46">
        <v>29165106</v>
      </c>
      <c r="E178" s="47">
        <v>45175</v>
      </c>
      <c r="F178" s="47">
        <v>45175</v>
      </c>
      <c r="G178" s="46">
        <v>1</v>
      </c>
      <c r="H178" s="47">
        <v>45191</v>
      </c>
      <c r="I178" s="47">
        <v>45209</v>
      </c>
      <c r="J178" s="46">
        <v>18</v>
      </c>
      <c r="K178" s="47">
        <v>45139</v>
      </c>
      <c r="L178" s="47">
        <v>45291</v>
      </c>
      <c r="M178" s="46" t="s">
        <v>358</v>
      </c>
      <c r="N178" s="12" t="s">
        <v>359</v>
      </c>
      <c r="O178" s="46" t="s">
        <v>354</v>
      </c>
      <c r="P178" s="46" t="s">
        <v>355</v>
      </c>
      <c r="Q178" s="46">
        <v>337</v>
      </c>
      <c r="R178" s="46">
        <v>0</v>
      </c>
      <c r="S178" s="46">
        <v>0</v>
      </c>
      <c r="T178" s="46">
        <v>337</v>
      </c>
      <c r="U178" s="48">
        <v>0</v>
      </c>
      <c r="V178" s="46" t="s">
        <v>44</v>
      </c>
      <c r="W178" s="46">
        <v>223294835</v>
      </c>
      <c r="X178" s="46" t="s">
        <v>356</v>
      </c>
      <c r="Y178" s="46" t="s">
        <v>64</v>
      </c>
      <c r="AA178" s="12"/>
      <c r="AB178" s="46">
        <v>0</v>
      </c>
      <c r="AD178" s="46" t="s">
        <v>67</v>
      </c>
      <c r="AE178" s="46">
        <v>11</v>
      </c>
    </row>
    <row r="179" spans="1:31" x14ac:dyDescent="0.25">
      <c r="A179" s="46" t="s">
        <v>57</v>
      </c>
      <c r="B179" s="46" t="s">
        <v>58</v>
      </c>
      <c r="C179" s="12" t="s">
        <v>351</v>
      </c>
      <c r="D179" s="46">
        <v>29165106</v>
      </c>
      <c r="E179" s="47">
        <v>45175</v>
      </c>
      <c r="F179" s="47">
        <v>45175</v>
      </c>
      <c r="G179" s="46">
        <v>1</v>
      </c>
      <c r="H179" s="47">
        <v>45191</v>
      </c>
      <c r="I179" s="47">
        <v>45209</v>
      </c>
      <c r="J179" s="46">
        <v>18</v>
      </c>
      <c r="K179" s="47">
        <v>45139</v>
      </c>
      <c r="L179" s="47">
        <v>45291</v>
      </c>
      <c r="M179" s="46" t="s">
        <v>360</v>
      </c>
      <c r="N179" s="12" t="s">
        <v>361</v>
      </c>
      <c r="O179" s="46" t="s">
        <v>354</v>
      </c>
      <c r="P179" s="46" t="s">
        <v>355</v>
      </c>
      <c r="Q179" s="46">
        <v>346</v>
      </c>
      <c r="R179" s="46">
        <v>0</v>
      </c>
      <c r="S179" s="46">
        <v>0</v>
      </c>
      <c r="T179" s="46">
        <v>346</v>
      </c>
      <c r="U179" s="48">
        <v>0</v>
      </c>
      <c r="V179" s="46" t="s">
        <v>44</v>
      </c>
      <c r="W179" s="46">
        <v>223294835</v>
      </c>
      <c r="X179" s="46" t="s">
        <v>356</v>
      </c>
      <c r="Y179" s="46" t="s">
        <v>64</v>
      </c>
      <c r="AA179" s="12"/>
      <c r="AB179" s="46">
        <v>0</v>
      </c>
      <c r="AD179" s="46" t="s">
        <v>67</v>
      </c>
      <c r="AE179" s="46">
        <v>11</v>
      </c>
    </row>
    <row r="180" spans="1:31" x14ac:dyDescent="0.25">
      <c r="A180" s="46" t="s">
        <v>57</v>
      </c>
      <c r="B180" s="46" t="s">
        <v>58</v>
      </c>
      <c r="C180" s="12" t="s">
        <v>351</v>
      </c>
      <c r="D180" s="46">
        <v>29165106</v>
      </c>
      <c r="E180" s="47">
        <v>45175</v>
      </c>
      <c r="F180" s="47">
        <v>45175</v>
      </c>
      <c r="G180" s="46">
        <v>1</v>
      </c>
      <c r="H180" s="47">
        <v>45191</v>
      </c>
      <c r="I180" s="47">
        <v>45209</v>
      </c>
      <c r="J180" s="46">
        <v>18</v>
      </c>
      <c r="K180" s="47">
        <v>45139</v>
      </c>
      <c r="L180" s="47">
        <v>45291</v>
      </c>
      <c r="M180" s="46" t="s">
        <v>365</v>
      </c>
      <c r="N180" s="12" t="s">
        <v>366</v>
      </c>
      <c r="O180" s="46" t="s">
        <v>354</v>
      </c>
      <c r="P180" s="46" t="s">
        <v>355</v>
      </c>
      <c r="Q180" s="46">
        <v>220</v>
      </c>
      <c r="R180" s="46">
        <v>220</v>
      </c>
      <c r="S180" s="46">
        <v>0</v>
      </c>
      <c r="T180" s="46">
        <v>0</v>
      </c>
      <c r="U180" s="48">
        <v>0</v>
      </c>
      <c r="V180" s="46" t="s">
        <v>44</v>
      </c>
      <c r="W180" s="46">
        <v>223294835</v>
      </c>
      <c r="X180" s="46" t="s">
        <v>356</v>
      </c>
      <c r="Y180" s="46" t="s">
        <v>64</v>
      </c>
      <c r="AA180" s="12"/>
      <c r="AB180" s="46">
        <v>0</v>
      </c>
      <c r="AD180" s="46" t="s">
        <v>67</v>
      </c>
      <c r="AE180" s="46">
        <v>11</v>
      </c>
    </row>
    <row r="181" spans="1:31" x14ac:dyDescent="0.25">
      <c r="A181" s="46" t="s">
        <v>57</v>
      </c>
      <c r="B181" s="46" t="s">
        <v>58</v>
      </c>
      <c r="C181" s="12" t="s">
        <v>351</v>
      </c>
      <c r="D181" s="46">
        <v>29165106</v>
      </c>
      <c r="E181" s="47">
        <v>45175</v>
      </c>
      <c r="F181" s="47">
        <v>45175</v>
      </c>
      <c r="G181" s="46">
        <v>1</v>
      </c>
      <c r="H181" s="47">
        <v>45191</v>
      </c>
      <c r="I181" s="47">
        <v>45209</v>
      </c>
      <c r="J181" s="46">
        <v>18</v>
      </c>
      <c r="K181" s="47">
        <v>45139</v>
      </c>
      <c r="L181" s="47">
        <v>45291</v>
      </c>
      <c r="M181" s="46" t="s">
        <v>367</v>
      </c>
      <c r="N181" s="12" t="s">
        <v>368</v>
      </c>
      <c r="O181" s="46" t="s">
        <v>354</v>
      </c>
      <c r="P181" s="46" t="s">
        <v>355</v>
      </c>
      <c r="Q181" s="46">
        <v>128</v>
      </c>
      <c r="R181" s="46">
        <v>128</v>
      </c>
      <c r="S181" s="46">
        <v>0</v>
      </c>
      <c r="T181" s="46">
        <v>0</v>
      </c>
      <c r="U181" s="48">
        <v>0</v>
      </c>
      <c r="V181" s="46" t="s">
        <v>44</v>
      </c>
      <c r="W181" s="46">
        <v>223294835</v>
      </c>
      <c r="X181" s="46" t="s">
        <v>356</v>
      </c>
      <c r="Y181" s="46" t="s">
        <v>64</v>
      </c>
      <c r="AA181" s="12"/>
      <c r="AB181" s="46">
        <v>0</v>
      </c>
      <c r="AD181" s="46" t="s">
        <v>67</v>
      </c>
      <c r="AE181" s="46">
        <v>11</v>
      </c>
    </row>
    <row r="182" spans="1:31" x14ac:dyDescent="0.25">
      <c r="A182" s="46" t="s">
        <v>57</v>
      </c>
      <c r="B182" s="46" t="s">
        <v>58</v>
      </c>
      <c r="C182" s="12" t="s">
        <v>351</v>
      </c>
      <c r="D182" s="46">
        <v>29165106</v>
      </c>
      <c r="E182" s="47">
        <v>45175</v>
      </c>
      <c r="F182" s="47">
        <v>45175</v>
      </c>
      <c r="G182" s="46">
        <v>1</v>
      </c>
      <c r="H182" s="47">
        <v>45191</v>
      </c>
      <c r="I182" s="47">
        <v>45209</v>
      </c>
      <c r="J182" s="46">
        <v>18</v>
      </c>
      <c r="K182" s="47">
        <v>45139</v>
      </c>
      <c r="L182" s="47">
        <v>45291</v>
      </c>
      <c r="M182" s="46" t="s">
        <v>360</v>
      </c>
      <c r="N182" s="12" t="s">
        <v>361</v>
      </c>
      <c r="O182" s="46" t="s">
        <v>354</v>
      </c>
      <c r="P182" s="46" t="s">
        <v>355</v>
      </c>
      <c r="Q182" s="46">
        <v>346</v>
      </c>
      <c r="R182" s="46">
        <v>0</v>
      </c>
      <c r="S182" s="46">
        <v>0</v>
      </c>
      <c r="T182" s="46">
        <v>346</v>
      </c>
      <c r="U182" s="48">
        <v>0</v>
      </c>
      <c r="V182" s="46" t="s">
        <v>44</v>
      </c>
      <c r="W182" s="46">
        <v>223294835</v>
      </c>
      <c r="X182" s="46" t="s">
        <v>356</v>
      </c>
      <c r="Y182" s="46" t="s">
        <v>64</v>
      </c>
      <c r="AA182" s="12"/>
      <c r="AB182" s="46">
        <v>0</v>
      </c>
      <c r="AD182" s="46" t="s">
        <v>67</v>
      </c>
      <c r="AE182" s="46">
        <v>11</v>
      </c>
    </row>
    <row r="183" spans="1:31" x14ac:dyDescent="0.25">
      <c r="A183" s="46" t="s">
        <v>57</v>
      </c>
      <c r="B183" s="46" t="s">
        <v>58</v>
      </c>
      <c r="C183" s="12" t="s">
        <v>351</v>
      </c>
      <c r="D183" s="46">
        <v>29165106</v>
      </c>
      <c r="E183" s="47">
        <v>45175</v>
      </c>
      <c r="F183" s="47">
        <v>45175</v>
      </c>
      <c r="G183" s="46">
        <v>1</v>
      </c>
      <c r="H183" s="47">
        <v>45191</v>
      </c>
      <c r="I183" s="47">
        <v>45209</v>
      </c>
      <c r="J183" s="46">
        <v>18</v>
      </c>
      <c r="K183" s="47">
        <v>45139</v>
      </c>
      <c r="L183" s="47">
        <v>45291</v>
      </c>
      <c r="M183" s="46" t="s">
        <v>358</v>
      </c>
      <c r="N183" s="12" t="s">
        <v>359</v>
      </c>
      <c r="O183" s="46" t="s">
        <v>354</v>
      </c>
      <c r="P183" s="46" t="s">
        <v>355</v>
      </c>
      <c r="Q183" s="46">
        <v>337</v>
      </c>
      <c r="R183" s="46">
        <v>0</v>
      </c>
      <c r="S183" s="46">
        <v>0</v>
      </c>
      <c r="T183" s="46">
        <v>337</v>
      </c>
      <c r="U183" s="48">
        <v>0</v>
      </c>
      <c r="V183" s="46" t="s">
        <v>44</v>
      </c>
      <c r="W183" s="46">
        <v>223294835</v>
      </c>
      <c r="X183" s="46" t="s">
        <v>356</v>
      </c>
      <c r="Y183" s="46" t="s">
        <v>64</v>
      </c>
      <c r="AA183" s="12"/>
      <c r="AB183" s="46">
        <v>0</v>
      </c>
      <c r="AD183" s="46" t="s">
        <v>67</v>
      </c>
      <c r="AE183" s="46">
        <v>11</v>
      </c>
    </row>
    <row r="184" spans="1:31" x14ac:dyDescent="0.25">
      <c r="A184" s="46" t="s">
        <v>57</v>
      </c>
      <c r="B184" s="46" t="s">
        <v>58</v>
      </c>
      <c r="C184" s="12" t="s">
        <v>351</v>
      </c>
      <c r="D184" s="46">
        <v>29165106</v>
      </c>
      <c r="E184" s="47">
        <v>45175</v>
      </c>
      <c r="F184" s="47">
        <v>45175</v>
      </c>
      <c r="G184" s="46">
        <v>1</v>
      </c>
      <c r="H184" s="47">
        <v>45191</v>
      </c>
      <c r="I184" s="47">
        <v>45209</v>
      </c>
      <c r="J184" s="46">
        <v>18</v>
      </c>
      <c r="K184" s="47">
        <v>45139</v>
      </c>
      <c r="L184" s="47">
        <v>45291</v>
      </c>
      <c r="M184" s="46" t="s">
        <v>358</v>
      </c>
      <c r="N184" s="12" t="s">
        <v>359</v>
      </c>
      <c r="O184" s="46" t="s">
        <v>354</v>
      </c>
      <c r="P184" s="46" t="s">
        <v>355</v>
      </c>
      <c r="Q184" s="46">
        <v>337</v>
      </c>
      <c r="R184" s="46">
        <v>0</v>
      </c>
      <c r="S184" s="46">
        <v>0</v>
      </c>
      <c r="T184" s="46">
        <v>337</v>
      </c>
      <c r="U184" s="48">
        <v>0</v>
      </c>
      <c r="V184" s="46" t="s">
        <v>44</v>
      </c>
      <c r="W184" s="46">
        <v>223294835</v>
      </c>
      <c r="X184" s="46" t="s">
        <v>356</v>
      </c>
      <c r="Y184" s="46" t="s">
        <v>64</v>
      </c>
      <c r="AA184" s="12"/>
      <c r="AB184" s="46">
        <v>0</v>
      </c>
      <c r="AD184" s="46" t="s">
        <v>67</v>
      </c>
      <c r="AE184" s="46">
        <v>11</v>
      </c>
    </row>
    <row r="185" spans="1:31" x14ac:dyDescent="0.25">
      <c r="A185" s="46" t="s">
        <v>57</v>
      </c>
      <c r="B185" s="46" t="s">
        <v>58</v>
      </c>
      <c r="C185" s="12" t="s">
        <v>351</v>
      </c>
      <c r="D185" s="46">
        <v>29165106</v>
      </c>
      <c r="E185" s="47">
        <v>45175</v>
      </c>
      <c r="F185" s="47">
        <v>45175</v>
      </c>
      <c r="G185" s="46">
        <v>1</v>
      </c>
      <c r="H185" s="47">
        <v>45191</v>
      </c>
      <c r="I185" s="47">
        <v>45209</v>
      </c>
      <c r="J185" s="46">
        <v>18</v>
      </c>
      <c r="K185" s="47">
        <v>45139</v>
      </c>
      <c r="L185" s="47">
        <v>45291</v>
      </c>
      <c r="M185" s="46" t="s">
        <v>352</v>
      </c>
      <c r="N185" s="12" t="s">
        <v>353</v>
      </c>
      <c r="O185" s="46" t="s">
        <v>354</v>
      </c>
      <c r="P185" s="46" t="s">
        <v>355</v>
      </c>
      <c r="Q185" s="46">
        <v>113</v>
      </c>
      <c r="R185" s="46">
        <v>113</v>
      </c>
      <c r="S185" s="46">
        <v>0</v>
      </c>
      <c r="T185" s="46">
        <v>0</v>
      </c>
      <c r="U185" s="48">
        <v>0</v>
      </c>
      <c r="V185" s="46" t="s">
        <v>44</v>
      </c>
      <c r="W185" s="46">
        <v>223294835</v>
      </c>
      <c r="X185" s="46" t="s">
        <v>356</v>
      </c>
      <c r="Y185" s="46" t="s">
        <v>64</v>
      </c>
      <c r="AA185" s="12"/>
      <c r="AB185" s="46">
        <v>0</v>
      </c>
      <c r="AD185" s="46" t="s">
        <v>67</v>
      </c>
      <c r="AE185" s="46">
        <v>11</v>
      </c>
    </row>
    <row r="186" spans="1:31" x14ac:dyDescent="0.25">
      <c r="A186" s="46" t="s">
        <v>57</v>
      </c>
      <c r="B186" s="46" t="s">
        <v>58</v>
      </c>
      <c r="C186" s="12" t="s">
        <v>351</v>
      </c>
      <c r="D186" s="46">
        <v>29165106</v>
      </c>
      <c r="E186" s="47">
        <v>45175</v>
      </c>
      <c r="F186" s="47">
        <v>45175</v>
      </c>
      <c r="G186" s="46">
        <v>1</v>
      </c>
      <c r="H186" s="47">
        <v>45191</v>
      </c>
      <c r="I186" s="47">
        <v>45209</v>
      </c>
      <c r="J186" s="46">
        <v>18</v>
      </c>
      <c r="K186" s="47">
        <v>45139</v>
      </c>
      <c r="L186" s="47">
        <v>45291</v>
      </c>
      <c r="M186" s="46" t="s">
        <v>357</v>
      </c>
      <c r="N186" s="12"/>
      <c r="O186" s="46" t="s">
        <v>354</v>
      </c>
      <c r="P186" s="46" t="s">
        <v>355</v>
      </c>
      <c r="Q186" s="46">
        <v>75</v>
      </c>
      <c r="R186" s="46">
        <v>75</v>
      </c>
      <c r="S186" s="46">
        <v>0</v>
      </c>
      <c r="T186" s="46">
        <v>0</v>
      </c>
      <c r="U186" s="48">
        <v>0</v>
      </c>
      <c r="V186" s="46" t="s">
        <v>44</v>
      </c>
      <c r="W186" s="46">
        <v>223294835</v>
      </c>
      <c r="X186" s="46" t="s">
        <v>356</v>
      </c>
      <c r="Y186" s="46" t="s">
        <v>64</v>
      </c>
      <c r="AA186" s="12"/>
      <c r="AB186" s="46">
        <v>0</v>
      </c>
      <c r="AD186" s="46" t="s">
        <v>67</v>
      </c>
      <c r="AE186" s="46">
        <v>11</v>
      </c>
    </row>
    <row r="187" spans="1:31" x14ac:dyDescent="0.25">
      <c r="A187" s="46" t="s">
        <v>57</v>
      </c>
      <c r="B187" s="46" t="s">
        <v>58</v>
      </c>
      <c r="C187" s="12" t="s">
        <v>351</v>
      </c>
      <c r="D187" s="46">
        <v>29165106</v>
      </c>
      <c r="E187" s="47">
        <v>45175</v>
      </c>
      <c r="F187" s="47">
        <v>45175</v>
      </c>
      <c r="G187" s="46">
        <v>1</v>
      </c>
      <c r="H187" s="47">
        <v>45191</v>
      </c>
      <c r="I187" s="47">
        <v>45209</v>
      </c>
      <c r="J187" s="46">
        <v>18</v>
      </c>
      <c r="K187" s="47">
        <v>45139</v>
      </c>
      <c r="L187" s="47">
        <v>45291</v>
      </c>
      <c r="M187" s="46" t="s">
        <v>362</v>
      </c>
      <c r="N187" s="12"/>
      <c r="O187" s="46" t="s">
        <v>354</v>
      </c>
      <c r="P187" s="46" t="s">
        <v>355</v>
      </c>
      <c r="Q187" s="46">
        <v>452</v>
      </c>
      <c r="R187" s="46">
        <v>452</v>
      </c>
      <c r="S187" s="46">
        <v>0</v>
      </c>
      <c r="T187" s="46">
        <v>0</v>
      </c>
      <c r="U187" s="48">
        <v>0</v>
      </c>
      <c r="V187" s="46" t="s">
        <v>44</v>
      </c>
      <c r="W187" s="46">
        <v>223294835</v>
      </c>
      <c r="X187" s="46" t="s">
        <v>356</v>
      </c>
      <c r="Y187" s="46" t="s">
        <v>64</v>
      </c>
      <c r="AA187" s="12"/>
      <c r="AB187" s="46">
        <v>0</v>
      </c>
      <c r="AD187" s="46" t="s">
        <v>67</v>
      </c>
      <c r="AE187" s="46">
        <v>11</v>
      </c>
    </row>
    <row r="188" spans="1:31" x14ac:dyDescent="0.25">
      <c r="A188" s="46" t="s">
        <v>57</v>
      </c>
      <c r="B188" s="46" t="s">
        <v>58</v>
      </c>
      <c r="C188" s="12" t="s">
        <v>351</v>
      </c>
      <c r="D188" s="46">
        <v>29165106</v>
      </c>
      <c r="E188" s="47">
        <v>45175</v>
      </c>
      <c r="F188" s="47">
        <v>45175</v>
      </c>
      <c r="G188" s="46">
        <v>1</v>
      </c>
      <c r="H188" s="47">
        <v>45191</v>
      </c>
      <c r="I188" s="47">
        <v>45209</v>
      </c>
      <c r="J188" s="46">
        <v>18</v>
      </c>
      <c r="K188" s="47">
        <v>45139</v>
      </c>
      <c r="L188" s="47">
        <v>45291</v>
      </c>
      <c r="M188" s="46" t="s">
        <v>363</v>
      </c>
      <c r="N188" s="12" t="s">
        <v>364</v>
      </c>
      <c r="O188" s="46" t="s">
        <v>354</v>
      </c>
      <c r="P188" s="46" t="s">
        <v>355</v>
      </c>
      <c r="Q188" s="46">
        <v>193</v>
      </c>
      <c r="R188" s="46">
        <v>193</v>
      </c>
      <c r="S188" s="46">
        <v>0</v>
      </c>
      <c r="T188" s="46">
        <v>0</v>
      </c>
      <c r="U188" s="48">
        <v>0</v>
      </c>
      <c r="V188" s="46" t="s">
        <v>44</v>
      </c>
      <c r="W188" s="46">
        <v>223294835</v>
      </c>
      <c r="X188" s="46" t="s">
        <v>356</v>
      </c>
      <c r="Y188" s="46" t="s">
        <v>64</v>
      </c>
      <c r="AA188" s="12"/>
      <c r="AB188" s="46">
        <v>0</v>
      </c>
      <c r="AD188" s="46" t="s">
        <v>67</v>
      </c>
      <c r="AE188" s="46">
        <v>11</v>
      </c>
    </row>
    <row r="189" spans="1:31" x14ac:dyDescent="0.25">
      <c r="A189" s="46" t="s">
        <v>57</v>
      </c>
      <c r="B189" s="46" t="s">
        <v>58</v>
      </c>
      <c r="C189" s="12" t="s">
        <v>351</v>
      </c>
      <c r="D189" s="46">
        <v>29165106</v>
      </c>
      <c r="E189" s="47">
        <v>45175</v>
      </c>
      <c r="F189" s="47">
        <v>45175</v>
      </c>
      <c r="G189" s="46">
        <v>1</v>
      </c>
      <c r="H189" s="47">
        <v>45191</v>
      </c>
      <c r="I189" s="47">
        <v>45209</v>
      </c>
      <c r="J189" s="46">
        <v>18</v>
      </c>
      <c r="K189" s="47">
        <v>45139</v>
      </c>
      <c r="L189" s="47">
        <v>45291</v>
      </c>
      <c r="M189" s="46" t="s">
        <v>365</v>
      </c>
      <c r="N189" s="12" t="s">
        <v>366</v>
      </c>
      <c r="O189" s="46" t="s">
        <v>354</v>
      </c>
      <c r="P189" s="46" t="s">
        <v>355</v>
      </c>
      <c r="Q189" s="46">
        <v>220</v>
      </c>
      <c r="R189" s="46">
        <v>0</v>
      </c>
      <c r="S189" s="46">
        <v>0</v>
      </c>
      <c r="T189" s="46">
        <v>220</v>
      </c>
      <c r="U189" s="48">
        <v>0</v>
      </c>
      <c r="V189" s="46" t="s">
        <v>44</v>
      </c>
      <c r="W189" s="46">
        <v>223294835</v>
      </c>
      <c r="X189" s="46" t="s">
        <v>356</v>
      </c>
      <c r="Y189" s="46" t="s">
        <v>64</v>
      </c>
      <c r="AA189" s="12"/>
      <c r="AB189" s="46">
        <v>0</v>
      </c>
      <c r="AD189" s="46" t="s">
        <v>67</v>
      </c>
      <c r="AE189" s="46">
        <v>11</v>
      </c>
    </row>
    <row r="190" spans="1:31" x14ac:dyDescent="0.25">
      <c r="A190" s="46" t="s">
        <v>57</v>
      </c>
      <c r="B190" s="46" t="s">
        <v>58</v>
      </c>
      <c r="C190" s="12" t="s">
        <v>351</v>
      </c>
      <c r="D190" s="46">
        <v>29165106</v>
      </c>
      <c r="E190" s="47">
        <v>45175</v>
      </c>
      <c r="F190" s="47">
        <v>45175</v>
      </c>
      <c r="G190" s="46">
        <v>1</v>
      </c>
      <c r="H190" s="47">
        <v>45191</v>
      </c>
      <c r="I190" s="47">
        <v>45209</v>
      </c>
      <c r="J190" s="46">
        <v>18</v>
      </c>
      <c r="K190" s="47">
        <v>45139</v>
      </c>
      <c r="L190" s="47">
        <v>45291</v>
      </c>
      <c r="M190" s="46" t="s">
        <v>367</v>
      </c>
      <c r="N190" s="12" t="s">
        <v>368</v>
      </c>
      <c r="O190" s="46" t="s">
        <v>354</v>
      </c>
      <c r="P190" s="46" t="s">
        <v>355</v>
      </c>
      <c r="Q190" s="46">
        <v>128</v>
      </c>
      <c r="R190" s="46">
        <v>0</v>
      </c>
      <c r="S190" s="46">
        <v>0</v>
      </c>
      <c r="T190" s="46">
        <v>128</v>
      </c>
      <c r="U190" s="48">
        <v>0</v>
      </c>
      <c r="V190" s="46" t="s">
        <v>44</v>
      </c>
      <c r="W190" s="46">
        <v>223294835</v>
      </c>
      <c r="X190" s="46" t="s">
        <v>356</v>
      </c>
      <c r="Y190" s="46" t="s">
        <v>64</v>
      </c>
      <c r="AA190" s="12"/>
      <c r="AB190" s="46">
        <v>0</v>
      </c>
      <c r="AD190" s="46" t="s">
        <v>67</v>
      </c>
      <c r="AE190" s="46">
        <v>11</v>
      </c>
    </row>
    <row r="191" spans="1:31" x14ac:dyDescent="0.25">
      <c r="A191" s="46" t="s">
        <v>57</v>
      </c>
      <c r="B191" s="46" t="s">
        <v>58</v>
      </c>
      <c r="C191" s="12" t="s">
        <v>351</v>
      </c>
      <c r="D191" s="46">
        <v>29165106</v>
      </c>
      <c r="E191" s="47">
        <v>45175</v>
      </c>
      <c r="F191" s="47">
        <v>45175</v>
      </c>
      <c r="G191" s="46">
        <v>1</v>
      </c>
      <c r="H191" s="47">
        <v>45191</v>
      </c>
      <c r="I191" s="47">
        <v>45209</v>
      </c>
      <c r="J191" s="46">
        <v>18</v>
      </c>
      <c r="K191" s="47">
        <v>45139</v>
      </c>
      <c r="L191" s="47">
        <v>45291</v>
      </c>
      <c r="M191" s="46" t="s">
        <v>358</v>
      </c>
      <c r="N191" s="12" t="s">
        <v>359</v>
      </c>
      <c r="O191" s="46" t="s">
        <v>354</v>
      </c>
      <c r="P191" s="46" t="s">
        <v>355</v>
      </c>
      <c r="Q191" s="46">
        <v>337</v>
      </c>
      <c r="R191" s="46">
        <v>337</v>
      </c>
      <c r="S191" s="46">
        <v>0</v>
      </c>
      <c r="T191" s="46">
        <v>0</v>
      </c>
      <c r="U191" s="48">
        <v>0</v>
      </c>
      <c r="V191" s="46" t="s">
        <v>44</v>
      </c>
      <c r="W191" s="46">
        <v>223294835</v>
      </c>
      <c r="X191" s="46" t="s">
        <v>356</v>
      </c>
      <c r="Y191" s="46" t="s">
        <v>64</v>
      </c>
      <c r="AA191" s="12"/>
      <c r="AB191" s="46">
        <v>0</v>
      </c>
      <c r="AD191" s="46" t="s">
        <v>67</v>
      </c>
      <c r="AE191" s="46">
        <v>11</v>
      </c>
    </row>
    <row r="192" spans="1:31" x14ac:dyDescent="0.25">
      <c r="A192" s="46" t="s">
        <v>57</v>
      </c>
      <c r="B192" s="46" t="s">
        <v>58</v>
      </c>
      <c r="C192" s="12" t="s">
        <v>351</v>
      </c>
      <c r="D192" s="46">
        <v>29165106</v>
      </c>
      <c r="E192" s="47">
        <v>45175</v>
      </c>
      <c r="F192" s="47">
        <v>45175</v>
      </c>
      <c r="G192" s="46">
        <v>1</v>
      </c>
      <c r="H192" s="47">
        <v>45191</v>
      </c>
      <c r="I192" s="47">
        <v>45209</v>
      </c>
      <c r="J192" s="46">
        <v>18</v>
      </c>
      <c r="K192" s="47">
        <v>45139</v>
      </c>
      <c r="L192" s="47">
        <v>45291</v>
      </c>
      <c r="M192" s="46" t="s">
        <v>360</v>
      </c>
      <c r="N192" s="12" t="s">
        <v>361</v>
      </c>
      <c r="O192" s="46" t="s">
        <v>354</v>
      </c>
      <c r="P192" s="46" t="s">
        <v>355</v>
      </c>
      <c r="Q192" s="46">
        <v>346</v>
      </c>
      <c r="R192" s="46">
        <v>346</v>
      </c>
      <c r="S192" s="46">
        <v>0</v>
      </c>
      <c r="T192" s="46">
        <v>0</v>
      </c>
      <c r="U192" s="48">
        <v>0</v>
      </c>
      <c r="V192" s="46" t="s">
        <v>44</v>
      </c>
      <c r="W192" s="46">
        <v>223294835</v>
      </c>
      <c r="X192" s="46" t="s">
        <v>356</v>
      </c>
      <c r="Y192" s="46" t="s">
        <v>64</v>
      </c>
      <c r="AA192" s="12"/>
      <c r="AB192" s="46">
        <v>0</v>
      </c>
      <c r="AD192" s="46" t="s">
        <v>67</v>
      </c>
      <c r="AE192" s="46">
        <v>11</v>
      </c>
    </row>
    <row r="193" spans="1:31" x14ac:dyDescent="0.25">
      <c r="A193" s="46" t="s">
        <v>57</v>
      </c>
      <c r="B193" s="46" t="s">
        <v>58</v>
      </c>
      <c r="C193" s="12" t="s">
        <v>351</v>
      </c>
      <c r="D193" s="46">
        <v>29398972</v>
      </c>
      <c r="E193" s="47">
        <v>45203</v>
      </c>
      <c r="F193" s="47">
        <v>45203</v>
      </c>
      <c r="G193" s="46">
        <v>1</v>
      </c>
      <c r="H193" s="47">
        <v>45217</v>
      </c>
      <c r="I193" s="47">
        <v>45238</v>
      </c>
      <c r="J193" s="46">
        <v>21</v>
      </c>
      <c r="K193" s="47">
        <v>45139</v>
      </c>
      <c r="L193" s="47">
        <v>45291</v>
      </c>
      <c r="M193" s="46" t="s">
        <v>352</v>
      </c>
      <c r="N193" s="12" t="s">
        <v>353</v>
      </c>
      <c r="O193" s="46" t="s">
        <v>91</v>
      </c>
      <c r="P193" s="46" t="s">
        <v>355</v>
      </c>
      <c r="Q193" s="46">
        <v>113</v>
      </c>
      <c r="R193" s="46">
        <v>0</v>
      </c>
      <c r="S193" s="46">
        <v>28.25</v>
      </c>
      <c r="T193" s="46">
        <v>84.75</v>
      </c>
      <c r="U193" s="48">
        <v>0.25</v>
      </c>
      <c r="V193" s="46" t="s">
        <v>44</v>
      </c>
      <c r="W193" s="46">
        <v>223328412</v>
      </c>
      <c r="X193" s="46" t="s">
        <v>369</v>
      </c>
      <c r="Y193" s="46" t="s">
        <v>64</v>
      </c>
      <c r="AA193" s="12"/>
      <c r="AB193" s="46">
        <v>0</v>
      </c>
      <c r="AD193" s="46" t="s">
        <v>67</v>
      </c>
      <c r="AE193" s="46">
        <v>11</v>
      </c>
    </row>
    <row r="194" spans="1:31" x14ac:dyDescent="0.25">
      <c r="A194" s="46" t="s">
        <v>57</v>
      </c>
      <c r="B194" s="46" t="s">
        <v>58</v>
      </c>
      <c r="C194" s="12" t="s">
        <v>351</v>
      </c>
      <c r="D194" s="46">
        <v>29398972</v>
      </c>
      <c r="E194" s="47">
        <v>45203</v>
      </c>
      <c r="F194" s="47">
        <v>45203</v>
      </c>
      <c r="G194" s="46">
        <v>1</v>
      </c>
      <c r="H194" s="47">
        <v>45217</v>
      </c>
      <c r="I194" s="47">
        <v>45238</v>
      </c>
      <c r="J194" s="46">
        <v>21</v>
      </c>
      <c r="K194" s="47">
        <v>45139</v>
      </c>
      <c r="L194" s="47">
        <v>45291</v>
      </c>
      <c r="M194" s="46" t="s">
        <v>363</v>
      </c>
      <c r="N194" s="12" t="s">
        <v>364</v>
      </c>
      <c r="O194" s="46" t="s">
        <v>91</v>
      </c>
      <c r="P194" s="46" t="s">
        <v>355</v>
      </c>
      <c r="Q194" s="46">
        <v>193</v>
      </c>
      <c r="R194" s="46">
        <v>0</v>
      </c>
      <c r="S194" s="46">
        <v>48.25</v>
      </c>
      <c r="T194" s="46">
        <v>144.75</v>
      </c>
      <c r="U194" s="48">
        <v>0.25</v>
      </c>
      <c r="V194" s="46" t="s">
        <v>44</v>
      </c>
      <c r="W194" s="46">
        <v>223328412</v>
      </c>
      <c r="X194" s="46" t="s">
        <v>369</v>
      </c>
      <c r="Y194" s="46" t="s">
        <v>64</v>
      </c>
      <c r="AA194" s="12"/>
      <c r="AB194" s="46">
        <v>0</v>
      </c>
      <c r="AD194" s="46" t="s">
        <v>67</v>
      </c>
      <c r="AE194" s="46">
        <v>11</v>
      </c>
    </row>
    <row r="195" spans="1:31" x14ac:dyDescent="0.25">
      <c r="A195" s="46" t="s">
        <v>57</v>
      </c>
      <c r="B195" s="46" t="s">
        <v>58</v>
      </c>
      <c r="C195" s="12" t="s">
        <v>351</v>
      </c>
      <c r="D195" s="46">
        <v>29399002</v>
      </c>
      <c r="E195" s="47">
        <v>45210</v>
      </c>
      <c r="F195" s="47">
        <v>45210</v>
      </c>
      <c r="G195" s="46">
        <v>1</v>
      </c>
      <c r="H195" s="47">
        <v>45217</v>
      </c>
      <c r="I195" s="47">
        <v>45231</v>
      </c>
      <c r="J195" s="46">
        <v>14</v>
      </c>
      <c r="K195" s="47">
        <v>45139</v>
      </c>
      <c r="L195" s="47">
        <v>45291</v>
      </c>
      <c r="M195" s="46" t="s">
        <v>362</v>
      </c>
      <c r="N195" s="12"/>
      <c r="O195" s="46" t="s">
        <v>91</v>
      </c>
      <c r="P195" s="46" t="s">
        <v>355</v>
      </c>
      <c r="Q195" s="46">
        <v>452</v>
      </c>
      <c r="R195" s="46">
        <v>0</v>
      </c>
      <c r="S195" s="46">
        <v>113</v>
      </c>
      <c r="T195" s="46">
        <v>339</v>
      </c>
      <c r="U195" s="48">
        <v>0.25</v>
      </c>
      <c r="V195" s="46" t="s">
        <v>44</v>
      </c>
      <c r="W195" s="46">
        <v>223328409</v>
      </c>
      <c r="X195" s="46" t="s">
        <v>370</v>
      </c>
      <c r="Y195" s="46" t="s">
        <v>64</v>
      </c>
      <c r="AA195" s="12"/>
      <c r="AB195" s="46">
        <v>0</v>
      </c>
      <c r="AD195" s="46" t="s">
        <v>67</v>
      </c>
      <c r="AE195" s="46">
        <v>11</v>
      </c>
    </row>
    <row r="196" spans="1:31" x14ac:dyDescent="0.25">
      <c r="A196" s="46" t="s">
        <v>57</v>
      </c>
      <c r="B196" s="46" t="s">
        <v>58</v>
      </c>
      <c r="C196" s="12" t="s">
        <v>351</v>
      </c>
      <c r="D196" s="46">
        <v>29399002</v>
      </c>
      <c r="E196" s="47">
        <v>45210</v>
      </c>
      <c r="F196" s="47">
        <v>45210</v>
      </c>
      <c r="G196" s="46">
        <v>1</v>
      </c>
      <c r="H196" s="47">
        <v>45217</v>
      </c>
      <c r="I196" s="47">
        <v>45231</v>
      </c>
      <c r="J196" s="46">
        <v>14</v>
      </c>
      <c r="K196" s="47">
        <v>45139</v>
      </c>
      <c r="L196" s="47">
        <v>45291</v>
      </c>
      <c r="M196" s="46" t="s">
        <v>352</v>
      </c>
      <c r="N196" s="12" t="s">
        <v>353</v>
      </c>
      <c r="O196" s="46" t="s">
        <v>91</v>
      </c>
      <c r="P196" s="46" t="s">
        <v>355</v>
      </c>
      <c r="Q196" s="46">
        <v>113</v>
      </c>
      <c r="R196" s="46">
        <v>0</v>
      </c>
      <c r="S196" s="46">
        <v>28.25</v>
      </c>
      <c r="T196" s="46">
        <v>84.75</v>
      </c>
      <c r="U196" s="48">
        <v>0.25</v>
      </c>
      <c r="V196" s="46" t="s">
        <v>44</v>
      </c>
      <c r="W196" s="46">
        <v>223328409</v>
      </c>
      <c r="X196" s="46" t="s">
        <v>370</v>
      </c>
      <c r="Y196" s="46" t="s">
        <v>64</v>
      </c>
      <c r="AA196" s="12"/>
      <c r="AB196" s="46">
        <v>0</v>
      </c>
      <c r="AD196" s="46" t="s">
        <v>67</v>
      </c>
      <c r="AE196" s="46">
        <v>11</v>
      </c>
    </row>
    <row r="197" spans="1:31" x14ac:dyDescent="0.25">
      <c r="A197" s="46" t="s">
        <v>57</v>
      </c>
      <c r="B197" s="46" t="s">
        <v>58</v>
      </c>
      <c r="C197" s="12" t="s">
        <v>351</v>
      </c>
      <c r="D197" s="46">
        <v>29399002</v>
      </c>
      <c r="E197" s="47">
        <v>45210</v>
      </c>
      <c r="F197" s="47">
        <v>45210</v>
      </c>
      <c r="G197" s="46">
        <v>1</v>
      </c>
      <c r="H197" s="47">
        <v>45217</v>
      </c>
      <c r="I197" s="47">
        <v>45231</v>
      </c>
      <c r="J197" s="46">
        <v>14</v>
      </c>
      <c r="K197" s="47">
        <v>45139</v>
      </c>
      <c r="L197" s="47">
        <v>45291</v>
      </c>
      <c r="M197" s="46" t="s">
        <v>360</v>
      </c>
      <c r="N197" s="12" t="s">
        <v>361</v>
      </c>
      <c r="O197" s="46" t="s">
        <v>91</v>
      </c>
      <c r="P197" s="46" t="s">
        <v>355</v>
      </c>
      <c r="Q197" s="46">
        <v>346</v>
      </c>
      <c r="R197" s="46">
        <v>0</v>
      </c>
      <c r="S197" s="46">
        <v>86.5</v>
      </c>
      <c r="T197" s="46">
        <v>259.5</v>
      </c>
      <c r="U197" s="48">
        <v>0.25</v>
      </c>
      <c r="V197" s="46" t="s">
        <v>44</v>
      </c>
      <c r="W197" s="46">
        <v>223328409</v>
      </c>
      <c r="X197" s="46" t="s">
        <v>370</v>
      </c>
      <c r="Y197" s="46" t="s">
        <v>64</v>
      </c>
      <c r="AA197" s="12"/>
      <c r="AB197" s="46">
        <v>0</v>
      </c>
      <c r="AD197" s="46" t="s">
        <v>67</v>
      </c>
      <c r="AE197" s="46">
        <v>11</v>
      </c>
    </row>
    <row r="198" spans="1:31" x14ac:dyDescent="0.25">
      <c r="A198" s="46" t="s">
        <v>57</v>
      </c>
      <c r="B198" s="46" t="s">
        <v>58</v>
      </c>
      <c r="C198" s="12" t="s">
        <v>351</v>
      </c>
      <c r="D198" s="46">
        <v>29399002</v>
      </c>
      <c r="E198" s="47">
        <v>45210</v>
      </c>
      <c r="F198" s="47">
        <v>45210</v>
      </c>
      <c r="G198" s="46">
        <v>1</v>
      </c>
      <c r="H198" s="47">
        <v>45217</v>
      </c>
      <c r="I198" s="47">
        <v>45231</v>
      </c>
      <c r="J198" s="46">
        <v>14</v>
      </c>
      <c r="K198" s="47">
        <v>45139</v>
      </c>
      <c r="L198" s="47">
        <v>45291</v>
      </c>
      <c r="M198" s="46" t="s">
        <v>363</v>
      </c>
      <c r="N198" s="12" t="s">
        <v>364</v>
      </c>
      <c r="O198" s="46" t="s">
        <v>91</v>
      </c>
      <c r="P198" s="46" t="s">
        <v>355</v>
      </c>
      <c r="Q198" s="46">
        <v>193</v>
      </c>
      <c r="R198" s="46">
        <v>0</v>
      </c>
      <c r="S198" s="46">
        <v>48.25</v>
      </c>
      <c r="T198" s="46">
        <v>144.75</v>
      </c>
      <c r="U198" s="48">
        <v>0.25</v>
      </c>
      <c r="V198" s="46" t="s">
        <v>44</v>
      </c>
      <c r="W198" s="46">
        <v>223328409</v>
      </c>
      <c r="X198" s="46" t="s">
        <v>370</v>
      </c>
      <c r="Y198" s="46" t="s">
        <v>64</v>
      </c>
      <c r="AA198" s="12"/>
      <c r="AB198" s="46">
        <v>0</v>
      </c>
      <c r="AD198" s="46" t="s">
        <v>67</v>
      </c>
      <c r="AE198" s="46">
        <v>11</v>
      </c>
    </row>
    <row r="199" spans="1:31" x14ac:dyDescent="0.25">
      <c r="A199" s="46" t="s">
        <v>57</v>
      </c>
      <c r="B199" s="46" t="s">
        <v>58</v>
      </c>
      <c r="C199" s="12" t="s">
        <v>351</v>
      </c>
      <c r="D199" s="46">
        <v>29399002</v>
      </c>
      <c r="E199" s="47">
        <v>45210</v>
      </c>
      <c r="F199" s="47">
        <v>45210</v>
      </c>
      <c r="G199" s="46">
        <v>1</v>
      </c>
      <c r="H199" s="47">
        <v>45217</v>
      </c>
      <c r="I199" s="47">
        <v>45231</v>
      </c>
      <c r="J199" s="46">
        <v>14</v>
      </c>
      <c r="K199" s="47">
        <v>45139</v>
      </c>
      <c r="L199" s="47">
        <v>45291</v>
      </c>
      <c r="M199" s="46" t="s">
        <v>371</v>
      </c>
      <c r="N199" s="12" t="s">
        <v>372</v>
      </c>
      <c r="O199" s="46" t="s">
        <v>91</v>
      </c>
      <c r="P199" s="46" t="s">
        <v>355</v>
      </c>
      <c r="Q199" s="46">
        <v>356</v>
      </c>
      <c r="R199" s="46">
        <v>0</v>
      </c>
      <c r="S199" s="46">
        <v>89</v>
      </c>
      <c r="T199" s="46">
        <v>267</v>
      </c>
      <c r="U199" s="48">
        <v>0.25</v>
      </c>
      <c r="V199" s="46" t="s">
        <v>44</v>
      </c>
      <c r="W199" s="46">
        <v>223328409</v>
      </c>
      <c r="X199" s="46" t="s">
        <v>370</v>
      </c>
      <c r="Y199" s="46" t="s">
        <v>64</v>
      </c>
      <c r="AA199" s="12"/>
      <c r="AB199" s="46">
        <v>0</v>
      </c>
      <c r="AD199" s="46" t="s">
        <v>67</v>
      </c>
      <c r="AE199" s="46">
        <v>11</v>
      </c>
    </row>
    <row r="200" spans="1:31" x14ac:dyDescent="0.25">
      <c r="A200" s="46" t="s">
        <v>57</v>
      </c>
      <c r="B200" s="46" t="s">
        <v>58</v>
      </c>
      <c r="C200" s="12" t="s">
        <v>351</v>
      </c>
      <c r="D200" s="46">
        <v>29399002</v>
      </c>
      <c r="E200" s="47">
        <v>45210</v>
      </c>
      <c r="F200" s="47">
        <v>45210</v>
      </c>
      <c r="G200" s="46">
        <v>1</v>
      </c>
      <c r="H200" s="47">
        <v>45217</v>
      </c>
      <c r="I200" s="47">
        <v>45231</v>
      </c>
      <c r="J200" s="46">
        <v>14</v>
      </c>
      <c r="K200" s="47">
        <v>45139</v>
      </c>
      <c r="L200" s="47">
        <v>45291</v>
      </c>
      <c r="M200" s="46" t="s">
        <v>360</v>
      </c>
      <c r="N200" s="12" t="s">
        <v>361</v>
      </c>
      <c r="O200" s="46" t="s">
        <v>91</v>
      </c>
      <c r="P200" s="46" t="s">
        <v>355</v>
      </c>
      <c r="Q200" s="46">
        <v>346</v>
      </c>
      <c r="R200" s="46">
        <v>0</v>
      </c>
      <c r="S200" s="46">
        <v>86.5</v>
      </c>
      <c r="T200" s="46">
        <v>259.5</v>
      </c>
      <c r="U200" s="48">
        <v>0.25</v>
      </c>
      <c r="V200" s="46" t="s">
        <v>44</v>
      </c>
      <c r="W200" s="46">
        <v>223328409</v>
      </c>
      <c r="X200" s="46" t="s">
        <v>370</v>
      </c>
      <c r="Y200" s="46" t="s">
        <v>64</v>
      </c>
      <c r="AA200" s="12"/>
      <c r="AB200" s="46">
        <v>0</v>
      </c>
      <c r="AD200" s="46" t="s">
        <v>67</v>
      </c>
      <c r="AE200" s="46">
        <v>11</v>
      </c>
    </row>
    <row r="201" spans="1:31" x14ac:dyDescent="0.25">
      <c r="A201" s="46" t="s">
        <v>57</v>
      </c>
      <c r="B201" s="46" t="s">
        <v>58</v>
      </c>
      <c r="C201" s="12" t="s">
        <v>351</v>
      </c>
      <c r="D201" s="46">
        <v>29399002</v>
      </c>
      <c r="E201" s="47">
        <v>45210</v>
      </c>
      <c r="F201" s="47">
        <v>45210</v>
      </c>
      <c r="G201" s="46">
        <v>1</v>
      </c>
      <c r="H201" s="47">
        <v>45217</v>
      </c>
      <c r="I201" s="47">
        <v>45231</v>
      </c>
      <c r="J201" s="46">
        <v>14</v>
      </c>
      <c r="K201" s="47">
        <v>45139</v>
      </c>
      <c r="L201" s="47">
        <v>45291</v>
      </c>
      <c r="M201" s="46" t="s">
        <v>360</v>
      </c>
      <c r="N201" s="12" t="s">
        <v>361</v>
      </c>
      <c r="O201" s="46" t="s">
        <v>91</v>
      </c>
      <c r="P201" s="46" t="s">
        <v>355</v>
      </c>
      <c r="Q201" s="46">
        <v>346</v>
      </c>
      <c r="R201" s="46">
        <v>0</v>
      </c>
      <c r="S201" s="46">
        <v>86.5</v>
      </c>
      <c r="T201" s="46">
        <v>259.5</v>
      </c>
      <c r="U201" s="48">
        <v>0.25</v>
      </c>
      <c r="V201" s="46" t="s">
        <v>44</v>
      </c>
      <c r="W201" s="46">
        <v>223328409</v>
      </c>
      <c r="X201" s="46" t="s">
        <v>370</v>
      </c>
      <c r="Y201" s="46" t="s">
        <v>64</v>
      </c>
      <c r="AA201" s="12"/>
      <c r="AB201" s="46">
        <v>0</v>
      </c>
      <c r="AD201" s="46" t="s">
        <v>67</v>
      </c>
      <c r="AE201" s="46">
        <v>11</v>
      </c>
    </row>
    <row r="202" spans="1:31" x14ac:dyDescent="0.25">
      <c r="A202" s="46" t="s">
        <v>57</v>
      </c>
      <c r="B202" s="46" t="s">
        <v>58</v>
      </c>
      <c r="C202" s="12" t="s">
        <v>351</v>
      </c>
      <c r="D202" s="46">
        <v>29399002</v>
      </c>
      <c r="E202" s="47">
        <v>45210</v>
      </c>
      <c r="F202" s="47">
        <v>45210</v>
      </c>
      <c r="G202" s="46">
        <v>1</v>
      </c>
      <c r="H202" s="47">
        <v>45217</v>
      </c>
      <c r="I202" s="47">
        <v>45231</v>
      </c>
      <c r="J202" s="46">
        <v>14</v>
      </c>
      <c r="K202" s="47">
        <v>45139</v>
      </c>
      <c r="L202" s="47">
        <v>45291</v>
      </c>
      <c r="M202" s="46" t="s">
        <v>358</v>
      </c>
      <c r="N202" s="12" t="s">
        <v>359</v>
      </c>
      <c r="O202" s="46" t="s">
        <v>91</v>
      </c>
      <c r="P202" s="46" t="s">
        <v>355</v>
      </c>
      <c r="Q202" s="46">
        <v>337</v>
      </c>
      <c r="R202" s="46">
        <v>0</v>
      </c>
      <c r="S202" s="46">
        <v>84.25</v>
      </c>
      <c r="T202" s="46">
        <v>252.75</v>
      </c>
      <c r="U202" s="48">
        <v>0.25</v>
      </c>
      <c r="V202" s="46" t="s">
        <v>44</v>
      </c>
      <c r="W202" s="46">
        <v>223328409</v>
      </c>
      <c r="X202" s="46" t="s">
        <v>370</v>
      </c>
      <c r="Y202" s="46" t="s">
        <v>64</v>
      </c>
      <c r="AA202" s="12"/>
      <c r="AB202" s="46">
        <v>0</v>
      </c>
      <c r="AD202" s="46" t="s">
        <v>67</v>
      </c>
      <c r="AE202" s="46">
        <v>11</v>
      </c>
    </row>
    <row r="203" spans="1:31" x14ac:dyDescent="0.25">
      <c r="A203" s="46" t="s">
        <v>57</v>
      </c>
      <c r="B203" s="46" t="s">
        <v>58</v>
      </c>
      <c r="C203" s="12" t="s">
        <v>351</v>
      </c>
      <c r="D203" s="46">
        <v>29399002</v>
      </c>
      <c r="E203" s="47">
        <v>45210</v>
      </c>
      <c r="F203" s="47">
        <v>45210</v>
      </c>
      <c r="G203" s="46">
        <v>1</v>
      </c>
      <c r="H203" s="47">
        <v>45217</v>
      </c>
      <c r="I203" s="47">
        <v>45231</v>
      </c>
      <c r="J203" s="46">
        <v>14</v>
      </c>
      <c r="K203" s="47">
        <v>45139</v>
      </c>
      <c r="L203" s="47">
        <v>45291</v>
      </c>
      <c r="M203" s="46" t="s">
        <v>373</v>
      </c>
      <c r="N203" s="12" t="s">
        <v>374</v>
      </c>
      <c r="O203" s="46" t="s">
        <v>91</v>
      </c>
      <c r="P203" s="46" t="s">
        <v>355</v>
      </c>
      <c r="Q203" s="46">
        <v>660</v>
      </c>
      <c r="R203" s="46">
        <v>0</v>
      </c>
      <c r="S203" s="46">
        <v>165</v>
      </c>
      <c r="T203" s="46">
        <v>495</v>
      </c>
      <c r="U203" s="48">
        <v>0.25</v>
      </c>
      <c r="V203" s="46" t="s">
        <v>44</v>
      </c>
      <c r="W203" s="46">
        <v>223328409</v>
      </c>
      <c r="X203" s="46" t="s">
        <v>370</v>
      </c>
      <c r="Y203" s="46" t="s">
        <v>64</v>
      </c>
      <c r="AA203" s="12"/>
      <c r="AB203" s="46">
        <v>0</v>
      </c>
      <c r="AD203" s="46" t="s">
        <v>67</v>
      </c>
      <c r="AE203" s="46">
        <v>11</v>
      </c>
    </row>
    <row r="204" spans="1:31" x14ac:dyDescent="0.25">
      <c r="A204" s="46" t="s">
        <v>57</v>
      </c>
      <c r="B204" s="46" t="s">
        <v>58</v>
      </c>
      <c r="C204" s="12" t="s">
        <v>351</v>
      </c>
      <c r="D204" s="46">
        <v>29399002</v>
      </c>
      <c r="E204" s="47">
        <v>45210</v>
      </c>
      <c r="F204" s="47">
        <v>45210</v>
      </c>
      <c r="G204" s="46">
        <v>1</v>
      </c>
      <c r="H204" s="47">
        <v>45217</v>
      </c>
      <c r="I204" s="47">
        <v>45231</v>
      </c>
      <c r="J204" s="46">
        <v>14</v>
      </c>
      <c r="K204" s="47">
        <v>45139</v>
      </c>
      <c r="L204" s="47">
        <v>45291</v>
      </c>
      <c r="M204" s="46" t="s">
        <v>360</v>
      </c>
      <c r="N204" s="12" t="s">
        <v>361</v>
      </c>
      <c r="O204" s="46" t="s">
        <v>91</v>
      </c>
      <c r="P204" s="46" t="s">
        <v>355</v>
      </c>
      <c r="Q204" s="46">
        <v>346</v>
      </c>
      <c r="R204" s="46">
        <v>0</v>
      </c>
      <c r="S204" s="46">
        <v>86.5</v>
      </c>
      <c r="T204" s="46">
        <v>259.5</v>
      </c>
      <c r="U204" s="48">
        <v>0.25</v>
      </c>
      <c r="V204" s="46" t="s">
        <v>44</v>
      </c>
      <c r="W204" s="46">
        <v>223328409</v>
      </c>
      <c r="X204" s="46" t="s">
        <v>370</v>
      </c>
      <c r="Y204" s="46" t="s">
        <v>64</v>
      </c>
      <c r="AA204" s="12"/>
      <c r="AB204" s="46">
        <v>0</v>
      </c>
      <c r="AD204" s="46" t="s">
        <v>67</v>
      </c>
      <c r="AE204" s="46">
        <v>11</v>
      </c>
    </row>
    <row r="205" spans="1:31" x14ac:dyDescent="0.25">
      <c r="A205" s="46" t="s">
        <v>57</v>
      </c>
      <c r="B205" s="46" t="s">
        <v>58</v>
      </c>
      <c r="C205" s="12" t="s">
        <v>351</v>
      </c>
      <c r="D205" s="46">
        <v>29399002</v>
      </c>
      <c r="E205" s="47">
        <v>45210</v>
      </c>
      <c r="F205" s="47">
        <v>45210</v>
      </c>
      <c r="G205" s="46">
        <v>1</v>
      </c>
      <c r="H205" s="47">
        <v>45217</v>
      </c>
      <c r="I205" s="47">
        <v>45231</v>
      </c>
      <c r="J205" s="46">
        <v>14</v>
      </c>
      <c r="K205" s="47">
        <v>45139</v>
      </c>
      <c r="L205" s="47">
        <v>45291</v>
      </c>
      <c r="M205" s="46" t="s">
        <v>375</v>
      </c>
      <c r="N205" s="12" t="s">
        <v>376</v>
      </c>
      <c r="O205" s="46" t="s">
        <v>91</v>
      </c>
      <c r="P205" s="46" t="s">
        <v>355</v>
      </c>
      <c r="Q205" s="46">
        <v>423</v>
      </c>
      <c r="R205" s="46">
        <v>0</v>
      </c>
      <c r="S205" s="46">
        <v>105.75</v>
      </c>
      <c r="T205" s="46">
        <v>317.25</v>
      </c>
      <c r="U205" s="48">
        <v>0.25</v>
      </c>
      <c r="V205" s="46" t="s">
        <v>44</v>
      </c>
      <c r="W205" s="46">
        <v>223328409</v>
      </c>
      <c r="X205" s="46" t="s">
        <v>370</v>
      </c>
      <c r="Y205" s="46" t="s">
        <v>64</v>
      </c>
      <c r="AA205" s="12"/>
      <c r="AB205" s="46">
        <v>0</v>
      </c>
      <c r="AD205" s="46" t="s">
        <v>67</v>
      </c>
      <c r="AE205" s="46">
        <v>11</v>
      </c>
    </row>
    <row r="206" spans="1:31" x14ac:dyDescent="0.25">
      <c r="A206" s="46" t="s">
        <v>57</v>
      </c>
      <c r="B206" s="46" t="s">
        <v>58</v>
      </c>
      <c r="C206" s="12" t="s">
        <v>351</v>
      </c>
      <c r="D206" s="46">
        <v>29399002</v>
      </c>
      <c r="E206" s="47">
        <v>45210</v>
      </c>
      <c r="F206" s="47">
        <v>45210</v>
      </c>
      <c r="G206" s="46">
        <v>1</v>
      </c>
      <c r="H206" s="47">
        <v>45217</v>
      </c>
      <c r="I206" s="47">
        <v>45231</v>
      </c>
      <c r="J206" s="46">
        <v>14</v>
      </c>
      <c r="K206" s="47">
        <v>45139</v>
      </c>
      <c r="L206" s="47">
        <v>45291</v>
      </c>
      <c r="M206" s="46" t="s">
        <v>365</v>
      </c>
      <c r="N206" s="12" t="s">
        <v>366</v>
      </c>
      <c r="O206" s="46" t="s">
        <v>91</v>
      </c>
      <c r="P206" s="46" t="s">
        <v>355</v>
      </c>
      <c r="Q206" s="46">
        <v>220</v>
      </c>
      <c r="R206" s="46">
        <v>0</v>
      </c>
      <c r="S206" s="46">
        <v>55</v>
      </c>
      <c r="T206" s="46">
        <v>165</v>
      </c>
      <c r="U206" s="48">
        <v>0.25</v>
      </c>
      <c r="V206" s="46" t="s">
        <v>44</v>
      </c>
      <c r="W206" s="46">
        <v>223328409</v>
      </c>
      <c r="X206" s="46" t="s">
        <v>370</v>
      </c>
      <c r="Y206" s="46" t="s">
        <v>64</v>
      </c>
      <c r="AA206" s="12"/>
      <c r="AB206" s="46">
        <v>0</v>
      </c>
      <c r="AD206" s="46" t="s">
        <v>67</v>
      </c>
      <c r="AE206" s="46">
        <v>11</v>
      </c>
    </row>
    <row r="207" spans="1:31" x14ac:dyDescent="0.25">
      <c r="A207" s="46" t="s">
        <v>57</v>
      </c>
      <c r="B207" s="46" t="s">
        <v>58</v>
      </c>
      <c r="C207" s="12" t="s">
        <v>351</v>
      </c>
      <c r="D207" s="46">
        <v>29399002</v>
      </c>
      <c r="E207" s="47">
        <v>45210</v>
      </c>
      <c r="F207" s="47">
        <v>45210</v>
      </c>
      <c r="G207" s="46">
        <v>1</v>
      </c>
      <c r="H207" s="47">
        <v>45217</v>
      </c>
      <c r="I207" s="47">
        <v>45231</v>
      </c>
      <c r="J207" s="46">
        <v>14</v>
      </c>
      <c r="K207" s="47">
        <v>45139</v>
      </c>
      <c r="L207" s="47">
        <v>45291</v>
      </c>
      <c r="M207" s="46" t="s">
        <v>367</v>
      </c>
      <c r="N207" s="12" t="s">
        <v>368</v>
      </c>
      <c r="O207" s="46" t="s">
        <v>91</v>
      </c>
      <c r="P207" s="46" t="s">
        <v>355</v>
      </c>
      <c r="Q207" s="46">
        <v>128</v>
      </c>
      <c r="R207" s="46">
        <v>0</v>
      </c>
      <c r="S207" s="46">
        <v>32</v>
      </c>
      <c r="T207" s="46">
        <v>96</v>
      </c>
      <c r="U207" s="48">
        <v>0.25</v>
      </c>
      <c r="V207" s="46" t="s">
        <v>44</v>
      </c>
      <c r="W207" s="46">
        <v>223328409</v>
      </c>
      <c r="X207" s="46" t="s">
        <v>370</v>
      </c>
      <c r="Y207" s="46" t="s">
        <v>64</v>
      </c>
      <c r="AA207" s="12"/>
      <c r="AB207" s="46">
        <v>0</v>
      </c>
      <c r="AD207" s="46" t="s">
        <v>67</v>
      </c>
      <c r="AE207" s="46">
        <v>11</v>
      </c>
    </row>
    <row r="208" spans="1:31" x14ac:dyDescent="0.25">
      <c r="A208" s="46" t="s">
        <v>57</v>
      </c>
      <c r="B208" s="46" t="s">
        <v>58</v>
      </c>
      <c r="C208" s="12" t="s">
        <v>377</v>
      </c>
      <c r="D208" s="46">
        <v>29251129</v>
      </c>
      <c r="E208" s="47">
        <v>45167</v>
      </c>
      <c r="F208" s="47">
        <v>45167</v>
      </c>
      <c r="G208" s="46">
        <v>1</v>
      </c>
      <c r="H208" s="47">
        <v>45184</v>
      </c>
      <c r="I208" s="47">
        <v>45203</v>
      </c>
      <c r="J208" s="46">
        <v>19</v>
      </c>
      <c r="K208" s="47">
        <v>45139</v>
      </c>
      <c r="L208" s="47">
        <v>45291</v>
      </c>
      <c r="M208" s="46">
        <v>99284</v>
      </c>
      <c r="N208" s="12" t="s">
        <v>155</v>
      </c>
      <c r="O208" s="46" t="s">
        <v>61</v>
      </c>
      <c r="P208" s="46" t="s">
        <v>62</v>
      </c>
      <c r="Q208" s="46">
        <v>947</v>
      </c>
      <c r="R208" s="46">
        <v>0</v>
      </c>
      <c r="S208" s="46">
        <v>865.76</v>
      </c>
      <c r="T208" s="46">
        <v>81.239999999999995</v>
      </c>
      <c r="U208" s="48">
        <v>0.91420000000000001</v>
      </c>
      <c r="V208" s="46" t="s">
        <v>44</v>
      </c>
      <c r="W208" s="46">
        <v>223287676</v>
      </c>
      <c r="X208" s="46" t="s">
        <v>378</v>
      </c>
      <c r="Y208" s="46" t="s">
        <v>64</v>
      </c>
      <c r="Z208" s="46" t="s">
        <v>207</v>
      </c>
      <c r="AA208" s="12" t="s">
        <v>208</v>
      </c>
      <c r="AB208" s="46">
        <v>0</v>
      </c>
      <c r="AD208" s="46" t="s">
        <v>67</v>
      </c>
      <c r="AE208" s="46">
        <v>23</v>
      </c>
    </row>
    <row r="209" spans="1:31" x14ac:dyDescent="0.25">
      <c r="A209" s="46" t="s">
        <v>57</v>
      </c>
      <c r="B209" s="46" t="s">
        <v>58</v>
      </c>
      <c r="C209" s="12" t="s">
        <v>377</v>
      </c>
      <c r="D209" s="46">
        <v>30166315</v>
      </c>
      <c r="E209" s="47">
        <v>45250</v>
      </c>
      <c r="F209" s="47">
        <v>45250</v>
      </c>
      <c r="G209" s="46">
        <v>1</v>
      </c>
      <c r="H209" s="47">
        <v>45265</v>
      </c>
      <c r="I209" s="47">
        <v>45273</v>
      </c>
      <c r="J209" s="46">
        <v>8</v>
      </c>
      <c r="K209" s="47">
        <v>45139</v>
      </c>
      <c r="L209" s="47">
        <v>45291</v>
      </c>
      <c r="M209" s="46">
        <v>99284</v>
      </c>
      <c r="N209" s="12" t="s">
        <v>155</v>
      </c>
      <c r="O209" s="46" t="s">
        <v>61</v>
      </c>
      <c r="P209" s="46" t="s">
        <v>62</v>
      </c>
      <c r="Q209" s="46">
        <v>947</v>
      </c>
      <c r="R209" s="46">
        <v>0</v>
      </c>
      <c r="S209" s="46">
        <v>865.76</v>
      </c>
      <c r="T209" s="46">
        <v>81.239999999999995</v>
      </c>
      <c r="U209" s="48">
        <v>0.91420000000000001</v>
      </c>
      <c r="V209" s="46" t="s">
        <v>44</v>
      </c>
      <c r="W209" s="46">
        <v>223401751</v>
      </c>
      <c r="X209" s="46" t="s">
        <v>379</v>
      </c>
      <c r="Y209" s="46" t="s">
        <v>64</v>
      </c>
      <c r="Z209" s="46" t="s">
        <v>380</v>
      </c>
      <c r="AA209" s="12" t="s">
        <v>381</v>
      </c>
      <c r="AB209" s="46">
        <v>0</v>
      </c>
      <c r="AD209" s="46" t="s">
        <v>67</v>
      </c>
      <c r="AE209" s="46">
        <v>23</v>
      </c>
    </row>
    <row r="210" spans="1:31" x14ac:dyDescent="0.25">
      <c r="A210" s="46" t="s">
        <v>57</v>
      </c>
      <c r="B210" s="46" t="s">
        <v>58</v>
      </c>
      <c r="C210" s="12" t="s">
        <v>377</v>
      </c>
      <c r="D210" s="46">
        <v>30166315</v>
      </c>
      <c r="E210" s="47">
        <v>45250</v>
      </c>
      <c r="F210" s="47">
        <v>45250</v>
      </c>
      <c r="G210" s="46">
        <v>1</v>
      </c>
      <c r="H210" s="47">
        <v>45265</v>
      </c>
      <c r="I210" s="47">
        <v>45273</v>
      </c>
      <c r="J210" s="46">
        <v>8</v>
      </c>
      <c r="K210" s="47">
        <v>45139</v>
      </c>
      <c r="L210" s="47">
        <v>45291</v>
      </c>
      <c r="M210" s="46">
        <v>12011</v>
      </c>
      <c r="N210" s="12" t="s">
        <v>382</v>
      </c>
      <c r="O210" s="46" t="s">
        <v>61</v>
      </c>
      <c r="P210" s="46" t="s">
        <v>62</v>
      </c>
      <c r="Q210" s="46">
        <v>423</v>
      </c>
      <c r="R210" s="46">
        <v>0</v>
      </c>
      <c r="S210" s="46">
        <v>379.43</v>
      </c>
      <c r="T210" s="46">
        <v>43.57</v>
      </c>
      <c r="U210" s="48">
        <v>0.89690000000000003</v>
      </c>
      <c r="V210" s="46" t="s">
        <v>44</v>
      </c>
      <c r="W210" s="46">
        <v>223401751</v>
      </c>
      <c r="X210" s="46" t="s">
        <v>379</v>
      </c>
      <c r="Y210" s="46" t="s">
        <v>64</v>
      </c>
      <c r="Z210" s="46" t="s">
        <v>380</v>
      </c>
      <c r="AA210" s="12" t="s">
        <v>381</v>
      </c>
      <c r="AB210" s="46">
        <v>0</v>
      </c>
      <c r="AD210" s="46" t="s">
        <v>67</v>
      </c>
      <c r="AE210" s="46">
        <v>23</v>
      </c>
    </row>
    <row r="211" spans="1:31" x14ac:dyDescent="0.25">
      <c r="A211" s="46" t="s">
        <v>57</v>
      </c>
      <c r="B211" s="46" t="s">
        <v>58</v>
      </c>
      <c r="C211" s="12" t="s">
        <v>377</v>
      </c>
      <c r="D211" s="46">
        <v>29914267</v>
      </c>
      <c r="E211" s="47">
        <v>45228</v>
      </c>
      <c r="F211" s="47">
        <v>45228</v>
      </c>
      <c r="G211" s="46">
        <v>1</v>
      </c>
      <c r="H211" s="47">
        <v>45243</v>
      </c>
      <c r="I211" s="47">
        <v>45252</v>
      </c>
      <c r="J211" s="46">
        <v>9</v>
      </c>
      <c r="K211" s="47">
        <v>45139</v>
      </c>
      <c r="L211" s="47">
        <v>45291</v>
      </c>
      <c r="M211" s="46">
        <v>99284</v>
      </c>
      <c r="N211" s="12" t="s">
        <v>155</v>
      </c>
      <c r="O211" s="46" t="s">
        <v>61</v>
      </c>
      <c r="P211" s="46" t="s">
        <v>62</v>
      </c>
      <c r="Q211" s="46">
        <v>947</v>
      </c>
      <c r="R211" s="46">
        <v>0</v>
      </c>
      <c r="S211" s="46">
        <v>865.76</v>
      </c>
      <c r="T211" s="46">
        <v>81.239999999999995</v>
      </c>
      <c r="U211" s="48">
        <v>0.91420000000000001</v>
      </c>
      <c r="V211" s="46" t="s">
        <v>44</v>
      </c>
      <c r="W211" s="46">
        <v>223369986</v>
      </c>
      <c r="X211" s="46" t="s">
        <v>383</v>
      </c>
      <c r="Y211" s="46" t="s">
        <v>64</v>
      </c>
      <c r="Z211" s="46" t="s">
        <v>221</v>
      </c>
      <c r="AA211" s="12" t="s">
        <v>222</v>
      </c>
      <c r="AB211" s="46">
        <v>0</v>
      </c>
      <c r="AD211" s="46" t="s">
        <v>67</v>
      </c>
      <c r="AE211" s="46">
        <v>23</v>
      </c>
    </row>
    <row r="212" spans="1:31" x14ac:dyDescent="0.25">
      <c r="A212" s="46" t="s">
        <v>57</v>
      </c>
      <c r="B212" s="46" t="s">
        <v>58</v>
      </c>
      <c r="C212" s="12" t="s">
        <v>377</v>
      </c>
      <c r="D212" s="46">
        <v>29914019</v>
      </c>
      <c r="E212" s="47">
        <v>45228</v>
      </c>
      <c r="F212" s="47">
        <v>45228</v>
      </c>
      <c r="G212" s="46">
        <v>1</v>
      </c>
      <c r="H212" s="47">
        <v>45240</v>
      </c>
      <c r="I212" s="47">
        <v>45252</v>
      </c>
      <c r="J212" s="46">
        <v>12</v>
      </c>
      <c r="K212" s="47">
        <v>45139</v>
      </c>
      <c r="L212" s="47">
        <v>45291</v>
      </c>
      <c r="M212" s="46">
        <v>99283</v>
      </c>
      <c r="N212" s="12" t="s">
        <v>155</v>
      </c>
      <c r="O212" s="46" t="s">
        <v>61</v>
      </c>
      <c r="P212" s="46" t="s">
        <v>62</v>
      </c>
      <c r="Q212" s="46">
        <v>560</v>
      </c>
      <c r="R212" s="46">
        <v>0</v>
      </c>
      <c r="S212" s="46">
        <v>504.48</v>
      </c>
      <c r="T212" s="46">
        <v>55.52</v>
      </c>
      <c r="U212" s="48">
        <v>0.90080000000000005</v>
      </c>
      <c r="V212" s="46" t="s">
        <v>44</v>
      </c>
      <c r="W212" s="46">
        <v>223367813</v>
      </c>
      <c r="X212" s="46" t="s">
        <v>384</v>
      </c>
      <c r="Y212" s="46" t="s">
        <v>64</v>
      </c>
      <c r="Z212" s="46" t="s">
        <v>385</v>
      </c>
      <c r="AA212" s="12"/>
      <c r="AB212" s="46">
        <v>0</v>
      </c>
      <c r="AD212" s="46" t="s">
        <v>67</v>
      </c>
      <c r="AE212" s="46">
        <v>23</v>
      </c>
    </row>
    <row r="213" spans="1:31" x14ac:dyDescent="0.25">
      <c r="A213" s="46" t="s">
        <v>57</v>
      </c>
      <c r="B213" s="46" t="s">
        <v>58</v>
      </c>
      <c r="C213" s="12" t="s">
        <v>377</v>
      </c>
      <c r="D213" s="46">
        <v>29914019</v>
      </c>
      <c r="E213" s="47">
        <v>45228</v>
      </c>
      <c r="F213" s="47">
        <v>45228</v>
      </c>
      <c r="G213" s="46">
        <v>1</v>
      </c>
      <c r="H213" s="47">
        <v>45250</v>
      </c>
      <c r="I213" s="47">
        <v>45266</v>
      </c>
      <c r="J213" s="46">
        <v>16</v>
      </c>
      <c r="K213" s="47">
        <v>45139</v>
      </c>
      <c r="L213" s="47">
        <v>45291</v>
      </c>
      <c r="M213" s="46">
        <v>99283</v>
      </c>
      <c r="N213" s="12" t="s">
        <v>155</v>
      </c>
      <c r="O213" s="46" t="s">
        <v>61</v>
      </c>
      <c r="P213" s="46" t="s">
        <v>62</v>
      </c>
      <c r="Q213" s="46">
        <v>560</v>
      </c>
      <c r="R213" s="46">
        <v>560</v>
      </c>
      <c r="S213" s="46">
        <v>0</v>
      </c>
      <c r="T213" s="46">
        <v>0</v>
      </c>
      <c r="U213" s="48">
        <v>0</v>
      </c>
      <c r="V213" s="46" t="s">
        <v>44</v>
      </c>
      <c r="W213" s="46">
        <v>223379765</v>
      </c>
      <c r="X213" s="46" t="s">
        <v>386</v>
      </c>
      <c r="Y213" s="46" t="s">
        <v>64</v>
      </c>
      <c r="Z213" s="46" t="s">
        <v>385</v>
      </c>
      <c r="AA213" s="12"/>
      <c r="AB213" s="46">
        <v>0</v>
      </c>
      <c r="AD213" s="46" t="s">
        <v>67</v>
      </c>
      <c r="AE213" s="46">
        <v>23</v>
      </c>
    </row>
    <row r="214" spans="1:31" x14ac:dyDescent="0.25">
      <c r="A214" s="46" t="s">
        <v>57</v>
      </c>
      <c r="B214" s="46" t="s">
        <v>58</v>
      </c>
      <c r="C214" s="12" t="s">
        <v>377</v>
      </c>
      <c r="D214" s="46">
        <v>29280477</v>
      </c>
      <c r="E214" s="47">
        <v>45173</v>
      </c>
      <c r="F214" s="47">
        <v>45173</v>
      </c>
      <c r="G214" s="46">
        <v>1</v>
      </c>
      <c r="H214" s="47">
        <v>45197</v>
      </c>
      <c r="I214" s="47">
        <v>45224</v>
      </c>
      <c r="J214" s="46">
        <v>27</v>
      </c>
      <c r="K214" s="47">
        <v>45139</v>
      </c>
      <c r="L214" s="47">
        <v>45291</v>
      </c>
      <c r="M214" s="46">
        <v>99285</v>
      </c>
      <c r="N214" s="12" t="s">
        <v>155</v>
      </c>
      <c r="O214" s="46" t="s">
        <v>61</v>
      </c>
      <c r="P214" s="46" t="s">
        <v>62</v>
      </c>
      <c r="Q214" s="49">
        <v>1374</v>
      </c>
      <c r="R214" s="46">
        <v>0</v>
      </c>
      <c r="S214" s="49">
        <v>1273</v>
      </c>
      <c r="T214" s="46">
        <v>101</v>
      </c>
      <c r="U214" s="48">
        <v>0.9264</v>
      </c>
      <c r="V214" s="46" t="s">
        <v>44</v>
      </c>
      <c r="W214" s="46">
        <v>223301408</v>
      </c>
      <c r="X214" s="46" t="s">
        <v>387</v>
      </c>
      <c r="Y214" s="46" t="s">
        <v>64</v>
      </c>
      <c r="Z214" s="46" t="s">
        <v>230</v>
      </c>
      <c r="AA214" s="12" t="s">
        <v>231</v>
      </c>
      <c r="AB214" s="46">
        <v>0</v>
      </c>
      <c r="AD214" s="46" t="s">
        <v>67</v>
      </c>
      <c r="AE214" s="46">
        <v>23</v>
      </c>
    </row>
    <row r="215" spans="1:31" x14ac:dyDescent="0.25">
      <c r="A215" s="46" t="s">
        <v>57</v>
      </c>
      <c r="B215" s="46" t="s">
        <v>58</v>
      </c>
      <c r="C215" s="12" t="s">
        <v>377</v>
      </c>
      <c r="D215" s="46">
        <v>29280477</v>
      </c>
      <c r="E215" s="47">
        <v>45173</v>
      </c>
      <c r="F215" s="47">
        <v>45173</v>
      </c>
      <c r="G215" s="46">
        <v>1</v>
      </c>
      <c r="H215" s="47">
        <v>45197</v>
      </c>
      <c r="I215" s="47">
        <v>45224</v>
      </c>
      <c r="J215" s="46">
        <v>27</v>
      </c>
      <c r="K215" s="47">
        <v>45139</v>
      </c>
      <c r="L215" s="47">
        <v>45291</v>
      </c>
      <c r="M215" s="46">
        <v>93010</v>
      </c>
      <c r="N215" s="12" t="s">
        <v>310</v>
      </c>
      <c r="O215" s="46" t="s">
        <v>61</v>
      </c>
      <c r="P215" s="46" t="s">
        <v>62</v>
      </c>
      <c r="Q215" s="46">
        <v>65</v>
      </c>
      <c r="R215" s="46">
        <v>0</v>
      </c>
      <c r="S215" s="46">
        <v>58.58</v>
      </c>
      <c r="T215" s="46">
        <v>6.42</v>
      </c>
      <c r="U215" s="48">
        <v>0.9012</v>
      </c>
      <c r="V215" s="46" t="s">
        <v>44</v>
      </c>
      <c r="W215" s="46">
        <v>223301408</v>
      </c>
      <c r="X215" s="46" t="s">
        <v>387</v>
      </c>
      <c r="Y215" s="46" t="s">
        <v>64</v>
      </c>
      <c r="Z215" s="46" t="s">
        <v>230</v>
      </c>
      <c r="AA215" s="12" t="s">
        <v>231</v>
      </c>
      <c r="AB215" s="46">
        <v>0</v>
      </c>
      <c r="AD215" s="46" t="s">
        <v>67</v>
      </c>
      <c r="AE215" s="46">
        <v>23</v>
      </c>
    </row>
    <row r="216" spans="1:31" x14ac:dyDescent="0.25">
      <c r="A216" s="46" t="s">
        <v>57</v>
      </c>
      <c r="B216" s="46" t="s">
        <v>58</v>
      </c>
      <c r="C216" s="12" t="s">
        <v>377</v>
      </c>
      <c r="D216" s="46">
        <v>29457576</v>
      </c>
      <c r="E216" s="47">
        <v>45188</v>
      </c>
      <c r="F216" s="47">
        <v>45188</v>
      </c>
      <c r="G216" s="46">
        <v>1</v>
      </c>
      <c r="H216" s="47">
        <v>45202</v>
      </c>
      <c r="I216" s="47">
        <v>45224</v>
      </c>
      <c r="J216" s="46">
        <v>22</v>
      </c>
      <c r="K216" s="47">
        <v>45139</v>
      </c>
      <c r="L216" s="47">
        <v>45291</v>
      </c>
      <c r="M216" s="46">
        <v>99285</v>
      </c>
      <c r="N216" s="12" t="s">
        <v>155</v>
      </c>
      <c r="O216" s="46" t="s">
        <v>61</v>
      </c>
      <c r="P216" s="46" t="s">
        <v>62</v>
      </c>
      <c r="Q216" s="49">
        <v>1374</v>
      </c>
      <c r="R216" s="46">
        <v>0</v>
      </c>
      <c r="S216" s="49">
        <v>1273</v>
      </c>
      <c r="T216" s="46">
        <v>101</v>
      </c>
      <c r="U216" s="48">
        <v>0.9264</v>
      </c>
      <c r="V216" s="46" t="s">
        <v>44</v>
      </c>
      <c r="W216" s="46">
        <v>223305007</v>
      </c>
      <c r="X216" s="46" t="s">
        <v>388</v>
      </c>
      <c r="Y216" s="46" t="s">
        <v>64</v>
      </c>
      <c r="Z216" s="46" t="s">
        <v>113</v>
      </c>
      <c r="AA216" s="12" t="s">
        <v>114</v>
      </c>
      <c r="AB216" s="46">
        <v>0</v>
      </c>
      <c r="AD216" s="46" t="s">
        <v>67</v>
      </c>
      <c r="AE216" s="46">
        <v>23</v>
      </c>
    </row>
    <row r="217" spans="1:31" x14ac:dyDescent="0.25">
      <c r="A217" s="46" t="s">
        <v>57</v>
      </c>
      <c r="B217" s="46" t="s">
        <v>58</v>
      </c>
      <c r="C217" s="12" t="s">
        <v>377</v>
      </c>
      <c r="D217" s="46">
        <v>29616920</v>
      </c>
      <c r="E217" s="47">
        <v>45202</v>
      </c>
      <c r="F217" s="47">
        <v>45202</v>
      </c>
      <c r="G217" s="46">
        <v>1</v>
      </c>
      <c r="H217" s="47">
        <v>45217</v>
      </c>
      <c r="I217" s="47">
        <v>45231</v>
      </c>
      <c r="J217" s="46">
        <v>14</v>
      </c>
      <c r="K217" s="47">
        <v>45139</v>
      </c>
      <c r="L217" s="47">
        <v>45291</v>
      </c>
      <c r="M217" s="46">
        <v>99284</v>
      </c>
      <c r="N217" s="12" t="s">
        <v>155</v>
      </c>
      <c r="O217" s="46" t="s">
        <v>61</v>
      </c>
      <c r="P217" s="46" t="s">
        <v>62</v>
      </c>
      <c r="Q217" s="46">
        <v>947</v>
      </c>
      <c r="R217" s="46">
        <v>0</v>
      </c>
      <c r="S217" s="46">
        <v>865.76</v>
      </c>
      <c r="T217" s="46">
        <v>81.239999999999995</v>
      </c>
      <c r="U217" s="48">
        <v>0.91420000000000001</v>
      </c>
      <c r="V217" s="46" t="s">
        <v>44</v>
      </c>
      <c r="W217" s="46">
        <v>223328056</v>
      </c>
      <c r="X217" s="46" t="s">
        <v>389</v>
      </c>
      <c r="Y217" s="46" t="s">
        <v>64</v>
      </c>
      <c r="Z217" s="46" t="s">
        <v>241</v>
      </c>
      <c r="AA217" s="12" t="s">
        <v>242</v>
      </c>
      <c r="AB217" s="46">
        <v>0</v>
      </c>
      <c r="AD217" s="46" t="s">
        <v>67</v>
      </c>
      <c r="AE217" s="46">
        <v>23</v>
      </c>
    </row>
    <row r="218" spans="1:31" x14ac:dyDescent="0.25">
      <c r="A218" s="46" t="s">
        <v>57</v>
      </c>
      <c r="B218" s="46" t="s">
        <v>58</v>
      </c>
      <c r="C218" s="12" t="s">
        <v>377</v>
      </c>
      <c r="D218" s="46">
        <v>29566528</v>
      </c>
      <c r="E218" s="47">
        <v>45198</v>
      </c>
      <c r="F218" s="47">
        <v>45198</v>
      </c>
      <c r="G218" s="46">
        <v>1</v>
      </c>
      <c r="H218" s="47">
        <v>45223</v>
      </c>
      <c r="I218" s="47">
        <v>45238</v>
      </c>
      <c r="J218" s="46">
        <v>15</v>
      </c>
      <c r="K218" s="47">
        <v>45139</v>
      </c>
      <c r="L218" s="47">
        <v>45291</v>
      </c>
      <c r="M218" s="46">
        <v>99285</v>
      </c>
      <c r="N218" s="12" t="s">
        <v>155</v>
      </c>
      <c r="O218" s="46" t="s">
        <v>61</v>
      </c>
      <c r="P218" s="46" t="s">
        <v>62</v>
      </c>
      <c r="Q218" s="49">
        <v>1374</v>
      </c>
      <c r="R218" s="46">
        <v>0</v>
      </c>
      <c r="S218" s="49">
        <v>1273</v>
      </c>
      <c r="T218" s="46">
        <v>101</v>
      </c>
      <c r="U218" s="48">
        <v>0.9264</v>
      </c>
      <c r="V218" s="46" t="s">
        <v>44</v>
      </c>
      <c r="W218" s="46">
        <v>223335962</v>
      </c>
      <c r="X218" s="46" t="s">
        <v>390</v>
      </c>
      <c r="Y218" s="46" t="s">
        <v>64</v>
      </c>
      <c r="Z218" s="46" t="s">
        <v>244</v>
      </c>
      <c r="AA218" s="12" t="s">
        <v>245</v>
      </c>
      <c r="AB218" s="46">
        <v>0</v>
      </c>
      <c r="AD218" s="46" t="s">
        <v>67</v>
      </c>
      <c r="AE218" s="46">
        <v>23</v>
      </c>
    </row>
    <row r="219" spans="1:31" x14ac:dyDescent="0.25">
      <c r="A219" s="46" t="s">
        <v>57</v>
      </c>
      <c r="B219" s="46" t="s">
        <v>58</v>
      </c>
      <c r="C219" s="12" t="s">
        <v>377</v>
      </c>
      <c r="D219" s="46">
        <v>30218277</v>
      </c>
      <c r="E219" s="47">
        <v>45253</v>
      </c>
      <c r="F219" s="47">
        <v>45253</v>
      </c>
      <c r="G219" s="46">
        <v>1</v>
      </c>
      <c r="H219" s="47">
        <v>45265</v>
      </c>
      <c r="I219" s="47">
        <v>45273</v>
      </c>
      <c r="J219" s="46">
        <v>8</v>
      </c>
      <c r="K219" s="47">
        <v>45139</v>
      </c>
      <c r="L219" s="47">
        <v>45291</v>
      </c>
      <c r="M219" s="46">
        <v>99285</v>
      </c>
      <c r="N219" s="12" t="s">
        <v>155</v>
      </c>
      <c r="O219" s="46" t="s">
        <v>61</v>
      </c>
      <c r="P219" s="46" t="s">
        <v>62</v>
      </c>
      <c r="Q219" s="49">
        <v>1374</v>
      </c>
      <c r="R219" s="46">
        <v>0</v>
      </c>
      <c r="S219" s="49">
        <v>1273</v>
      </c>
      <c r="T219" s="46">
        <v>101</v>
      </c>
      <c r="U219" s="48">
        <v>0.9264</v>
      </c>
      <c r="V219" s="46" t="s">
        <v>44</v>
      </c>
      <c r="W219" s="46">
        <v>223401756</v>
      </c>
      <c r="X219" s="46" t="s">
        <v>391</v>
      </c>
      <c r="Y219" s="46" t="s">
        <v>64</v>
      </c>
      <c r="Z219" s="46" t="s">
        <v>392</v>
      </c>
      <c r="AA219" s="12" t="s">
        <v>393</v>
      </c>
      <c r="AB219" s="46">
        <v>0</v>
      </c>
      <c r="AD219" s="46" t="s">
        <v>67</v>
      </c>
      <c r="AE219" s="46">
        <v>23</v>
      </c>
    </row>
    <row r="220" spans="1:31" x14ac:dyDescent="0.25">
      <c r="A220" s="46" t="s">
        <v>57</v>
      </c>
      <c r="B220" s="46" t="s">
        <v>58</v>
      </c>
      <c r="C220" s="12" t="s">
        <v>377</v>
      </c>
      <c r="D220" s="46">
        <v>29280654</v>
      </c>
      <c r="E220" s="47">
        <v>45171</v>
      </c>
      <c r="F220" s="47">
        <v>45171</v>
      </c>
      <c r="G220" s="46">
        <v>1</v>
      </c>
      <c r="H220" s="47">
        <v>45187</v>
      </c>
      <c r="I220" s="47">
        <v>45203</v>
      </c>
      <c r="J220" s="46">
        <v>16</v>
      </c>
      <c r="K220" s="47">
        <v>45139</v>
      </c>
      <c r="L220" s="47">
        <v>45291</v>
      </c>
      <c r="M220" s="46">
        <v>99283</v>
      </c>
      <c r="N220" s="12" t="s">
        <v>155</v>
      </c>
      <c r="O220" s="46" t="s">
        <v>61</v>
      </c>
      <c r="P220" s="46" t="s">
        <v>62</v>
      </c>
      <c r="Q220" s="46">
        <v>560</v>
      </c>
      <c r="R220" s="46">
        <v>0</v>
      </c>
      <c r="S220" s="46">
        <v>504.48</v>
      </c>
      <c r="T220" s="46">
        <v>55.52</v>
      </c>
      <c r="U220" s="48">
        <v>0.90080000000000005</v>
      </c>
      <c r="V220" s="46" t="s">
        <v>44</v>
      </c>
      <c r="W220" s="46">
        <v>223289314</v>
      </c>
      <c r="X220" s="46" t="s">
        <v>394</v>
      </c>
      <c r="Y220" s="46" t="s">
        <v>64</v>
      </c>
      <c r="Z220" s="46" t="s">
        <v>395</v>
      </c>
      <c r="AA220" s="12" t="s">
        <v>396</v>
      </c>
      <c r="AB220" s="46">
        <v>0</v>
      </c>
      <c r="AD220" s="46" t="s">
        <v>67</v>
      </c>
      <c r="AE220" s="46">
        <v>23</v>
      </c>
    </row>
    <row r="221" spans="1:31" x14ac:dyDescent="0.25">
      <c r="A221" s="46" t="s">
        <v>57</v>
      </c>
      <c r="B221" s="46" t="s">
        <v>58</v>
      </c>
      <c r="C221" s="12" t="s">
        <v>377</v>
      </c>
      <c r="D221" s="46">
        <v>30108410</v>
      </c>
      <c r="E221" s="47">
        <v>45245</v>
      </c>
      <c r="F221" s="47">
        <v>45245</v>
      </c>
      <c r="G221" s="46">
        <v>1</v>
      </c>
      <c r="H221" s="47">
        <v>45266</v>
      </c>
      <c r="I221" s="47">
        <v>45273</v>
      </c>
      <c r="J221" s="46">
        <v>7</v>
      </c>
      <c r="K221" s="47">
        <v>45139</v>
      </c>
      <c r="L221" s="47">
        <v>45291</v>
      </c>
      <c r="M221" s="46">
        <v>99285</v>
      </c>
      <c r="N221" s="12" t="s">
        <v>155</v>
      </c>
      <c r="O221" s="46" t="s">
        <v>61</v>
      </c>
      <c r="P221" s="46" t="s">
        <v>62</v>
      </c>
      <c r="Q221" s="49">
        <v>1374</v>
      </c>
      <c r="R221" s="46">
        <v>0</v>
      </c>
      <c r="S221" s="49">
        <v>1273</v>
      </c>
      <c r="T221" s="46">
        <v>101</v>
      </c>
      <c r="U221" s="48">
        <v>0.9264</v>
      </c>
      <c r="V221" s="46" t="s">
        <v>44</v>
      </c>
      <c r="W221" s="46">
        <v>223403574</v>
      </c>
      <c r="X221" s="46" t="s">
        <v>397</v>
      </c>
      <c r="Y221" s="46" t="s">
        <v>64</v>
      </c>
      <c r="Z221" s="46" t="s">
        <v>251</v>
      </c>
      <c r="AA221" s="12" t="s">
        <v>252</v>
      </c>
      <c r="AB221" s="46">
        <v>0</v>
      </c>
      <c r="AD221" s="46" t="s">
        <v>67</v>
      </c>
      <c r="AE221" s="46">
        <v>23</v>
      </c>
    </row>
    <row r="222" spans="1:31" x14ac:dyDescent="0.25">
      <c r="A222" s="46" t="s">
        <v>57</v>
      </c>
      <c r="B222" s="46" t="s">
        <v>58</v>
      </c>
      <c r="C222" s="12" t="s">
        <v>377</v>
      </c>
      <c r="D222" s="46">
        <v>29695997</v>
      </c>
      <c r="E222" s="47">
        <v>45210</v>
      </c>
      <c r="F222" s="47">
        <v>45210</v>
      </c>
      <c r="G222" s="46">
        <v>1</v>
      </c>
      <c r="H222" s="47">
        <v>45226</v>
      </c>
      <c r="I222" s="47">
        <v>45238</v>
      </c>
      <c r="J222" s="46">
        <v>12</v>
      </c>
      <c r="K222" s="47">
        <v>45139</v>
      </c>
      <c r="L222" s="47">
        <v>45291</v>
      </c>
      <c r="M222" s="46">
        <v>99291</v>
      </c>
      <c r="N222" s="12" t="s">
        <v>318</v>
      </c>
      <c r="O222" s="46" t="s">
        <v>61</v>
      </c>
      <c r="P222" s="46" t="s">
        <v>62</v>
      </c>
      <c r="Q222" s="49">
        <v>1688</v>
      </c>
      <c r="R222" s="46">
        <v>0</v>
      </c>
      <c r="S222" s="49">
        <v>1504.19</v>
      </c>
      <c r="T222" s="46">
        <v>183.81</v>
      </c>
      <c r="U222" s="48">
        <v>0.8911</v>
      </c>
      <c r="V222" s="46" t="s">
        <v>44</v>
      </c>
      <c r="W222" s="46">
        <v>223345045</v>
      </c>
      <c r="X222" s="46" t="s">
        <v>398</v>
      </c>
      <c r="Y222" s="46" t="s">
        <v>64</v>
      </c>
      <c r="Z222" s="46" t="s">
        <v>399</v>
      </c>
      <c r="AA222" s="12" t="s">
        <v>400</v>
      </c>
      <c r="AB222" s="46">
        <v>0</v>
      </c>
      <c r="AD222" s="46" t="s">
        <v>67</v>
      </c>
      <c r="AE222" s="46">
        <v>23</v>
      </c>
    </row>
    <row r="223" spans="1:31" x14ac:dyDescent="0.25">
      <c r="A223" s="46" t="s">
        <v>57</v>
      </c>
      <c r="B223" s="46" t="s">
        <v>58</v>
      </c>
      <c r="C223" s="12" t="s">
        <v>377</v>
      </c>
      <c r="D223" s="46">
        <v>29695997</v>
      </c>
      <c r="E223" s="47">
        <v>45210</v>
      </c>
      <c r="F223" s="47">
        <v>45210</v>
      </c>
      <c r="G223" s="46">
        <v>1</v>
      </c>
      <c r="H223" s="47">
        <v>45226</v>
      </c>
      <c r="I223" s="47">
        <v>45238</v>
      </c>
      <c r="J223" s="46">
        <v>12</v>
      </c>
      <c r="K223" s="47">
        <v>45139</v>
      </c>
      <c r="L223" s="47">
        <v>45291</v>
      </c>
      <c r="M223" s="46">
        <v>36556</v>
      </c>
      <c r="N223" s="12" t="s">
        <v>401</v>
      </c>
      <c r="O223" s="46" t="s">
        <v>61</v>
      </c>
      <c r="P223" s="46" t="s">
        <v>62</v>
      </c>
      <c r="Q223" s="46">
        <v>653</v>
      </c>
      <c r="R223" s="46">
        <v>0</v>
      </c>
      <c r="S223" s="46">
        <v>586.98</v>
      </c>
      <c r="T223" s="46">
        <v>66.02</v>
      </c>
      <c r="U223" s="48">
        <v>0.89880000000000004</v>
      </c>
      <c r="V223" s="46" t="s">
        <v>44</v>
      </c>
      <c r="W223" s="46">
        <v>223345066</v>
      </c>
      <c r="X223" s="46" t="s">
        <v>402</v>
      </c>
      <c r="Y223" s="46" t="s">
        <v>64</v>
      </c>
      <c r="Z223" s="46" t="s">
        <v>86</v>
      </c>
      <c r="AA223" s="12" t="s">
        <v>87</v>
      </c>
      <c r="AB223" s="46">
        <v>0</v>
      </c>
      <c r="AD223" s="46" t="s">
        <v>67</v>
      </c>
      <c r="AE223" s="46">
        <v>23</v>
      </c>
    </row>
    <row r="224" spans="1:31" x14ac:dyDescent="0.25">
      <c r="A224" s="46" t="s">
        <v>57</v>
      </c>
      <c r="B224" s="46" t="s">
        <v>58</v>
      </c>
      <c r="C224" s="12" t="s">
        <v>377</v>
      </c>
      <c r="D224" s="46">
        <v>29695997</v>
      </c>
      <c r="E224" s="47">
        <v>45210</v>
      </c>
      <c r="F224" s="47">
        <v>45210</v>
      </c>
      <c r="G224" s="46">
        <v>1</v>
      </c>
      <c r="H224" s="47">
        <v>45226</v>
      </c>
      <c r="I224" s="47">
        <v>45238</v>
      </c>
      <c r="J224" s="46">
        <v>12</v>
      </c>
      <c r="K224" s="47">
        <v>45139</v>
      </c>
      <c r="L224" s="47">
        <v>45291</v>
      </c>
      <c r="M224" s="46">
        <v>76937</v>
      </c>
      <c r="N224" s="12" t="s">
        <v>403</v>
      </c>
      <c r="O224" s="46" t="s">
        <v>61</v>
      </c>
      <c r="P224" s="46" t="s">
        <v>62</v>
      </c>
      <c r="Q224" s="46">
        <v>312</v>
      </c>
      <c r="R224" s="46">
        <v>0</v>
      </c>
      <c r="S224" s="46">
        <v>300.77</v>
      </c>
      <c r="T224" s="46">
        <v>11.23</v>
      </c>
      <c r="U224" s="48">
        <v>0.96399999999999997</v>
      </c>
      <c r="V224" s="46" t="s">
        <v>44</v>
      </c>
      <c r="W224" s="46">
        <v>223345066</v>
      </c>
      <c r="X224" s="46" t="s">
        <v>402</v>
      </c>
      <c r="Y224" s="46" t="s">
        <v>64</v>
      </c>
      <c r="Z224" s="46" t="s">
        <v>86</v>
      </c>
      <c r="AA224" s="12" t="s">
        <v>87</v>
      </c>
      <c r="AB224" s="46">
        <v>0</v>
      </c>
      <c r="AD224" s="46" t="s">
        <v>67</v>
      </c>
      <c r="AE224" s="46">
        <v>23</v>
      </c>
    </row>
    <row r="225" spans="1:31" x14ac:dyDescent="0.25">
      <c r="A225" s="46" t="s">
        <v>57</v>
      </c>
      <c r="B225" s="46" t="s">
        <v>58</v>
      </c>
      <c r="C225" s="12" t="s">
        <v>377</v>
      </c>
      <c r="D225" s="46">
        <v>30075938</v>
      </c>
      <c r="E225" s="47">
        <v>45181</v>
      </c>
      <c r="F225" s="47">
        <v>45181</v>
      </c>
      <c r="G225" s="46">
        <v>1</v>
      </c>
      <c r="H225" s="47">
        <v>45201</v>
      </c>
      <c r="I225" s="47">
        <v>45252</v>
      </c>
      <c r="J225" s="46">
        <v>51</v>
      </c>
      <c r="K225" s="47">
        <v>45139</v>
      </c>
      <c r="L225" s="47">
        <v>45291</v>
      </c>
      <c r="M225" s="46">
        <v>99284</v>
      </c>
      <c r="N225" s="12" t="s">
        <v>155</v>
      </c>
      <c r="O225" s="46" t="s">
        <v>61</v>
      </c>
      <c r="P225" s="46" t="s">
        <v>62</v>
      </c>
      <c r="Q225" s="46">
        <v>947</v>
      </c>
      <c r="R225" s="46">
        <v>0</v>
      </c>
      <c r="S225" s="46">
        <v>865.76</v>
      </c>
      <c r="T225" s="46">
        <v>81.239999999999995</v>
      </c>
      <c r="U225" s="48">
        <v>0.91420000000000001</v>
      </c>
      <c r="V225" s="46" t="s">
        <v>44</v>
      </c>
      <c r="W225" s="46">
        <v>223303970</v>
      </c>
      <c r="X225" s="46" t="s">
        <v>404</v>
      </c>
      <c r="Y225" s="46" t="s">
        <v>64</v>
      </c>
      <c r="Z225" s="46" t="s">
        <v>405</v>
      </c>
      <c r="AA225" s="12" t="s">
        <v>406</v>
      </c>
      <c r="AB225" s="46">
        <v>0</v>
      </c>
      <c r="AD225" s="46" t="s">
        <v>67</v>
      </c>
      <c r="AE225" s="46">
        <v>23</v>
      </c>
    </row>
    <row r="226" spans="1:31" x14ac:dyDescent="0.25">
      <c r="A226" s="46" t="s">
        <v>57</v>
      </c>
      <c r="B226" s="46" t="s">
        <v>58</v>
      </c>
      <c r="C226" s="12" t="s">
        <v>377</v>
      </c>
      <c r="D226" s="46">
        <v>30218508</v>
      </c>
      <c r="E226" s="47">
        <v>45252</v>
      </c>
      <c r="F226" s="47">
        <v>45252</v>
      </c>
      <c r="G226" s="46">
        <v>1</v>
      </c>
      <c r="H226" s="47">
        <v>45267</v>
      </c>
      <c r="I226" s="47">
        <v>45273</v>
      </c>
      <c r="J226" s="46">
        <v>6</v>
      </c>
      <c r="K226" s="47">
        <v>45139</v>
      </c>
      <c r="L226" s="47">
        <v>45291</v>
      </c>
      <c r="M226" s="46">
        <v>99283</v>
      </c>
      <c r="N226" s="12" t="s">
        <v>155</v>
      </c>
      <c r="O226" s="46" t="s">
        <v>61</v>
      </c>
      <c r="P226" s="46" t="s">
        <v>62</v>
      </c>
      <c r="Q226" s="46">
        <v>560</v>
      </c>
      <c r="R226" s="46">
        <v>0</v>
      </c>
      <c r="S226" s="46">
        <v>504.48</v>
      </c>
      <c r="T226" s="46">
        <v>55.52</v>
      </c>
      <c r="U226" s="48">
        <v>0.90080000000000005</v>
      </c>
      <c r="V226" s="46" t="s">
        <v>44</v>
      </c>
      <c r="W226" s="46">
        <v>223406196</v>
      </c>
      <c r="X226" s="46" t="s">
        <v>407</v>
      </c>
      <c r="Y226" s="46" t="s">
        <v>64</v>
      </c>
      <c r="Z226" s="46" t="s">
        <v>126</v>
      </c>
      <c r="AA226" s="12" t="s">
        <v>127</v>
      </c>
      <c r="AB226" s="46">
        <v>0</v>
      </c>
      <c r="AD226" s="46" t="s">
        <v>67</v>
      </c>
      <c r="AE226" s="46">
        <v>23</v>
      </c>
    </row>
    <row r="227" spans="1:31" x14ac:dyDescent="0.25">
      <c r="A227" s="46" t="s">
        <v>57</v>
      </c>
      <c r="B227" s="46" t="s">
        <v>58</v>
      </c>
      <c r="C227" s="12" t="s">
        <v>377</v>
      </c>
      <c r="D227" s="46">
        <v>29386242</v>
      </c>
      <c r="E227" s="47">
        <v>45182</v>
      </c>
      <c r="F227" s="47">
        <v>45182</v>
      </c>
      <c r="G227" s="46">
        <v>1</v>
      </c>
      <c r="H227" s="47">
        <v>45195</v>
      </c>
      <c r="I227" s="47">
        <v>45209</v>
      </c>
      <c r="J227" s="46">
        <v>14</v>
      </c>
      <c r="K227" s="47">
        <v>45139</v>
      </c>
      <c r="L227" s="47">
        <v>45291</v>
      </c>
      <c r="M227" s="46">
        <v>99284</v>
      </c>
      <c r="N227" s="12" t="s">
        <v>155</v>
      </c>
      <c r="O227" s="46" t="s">
        <v>61</v>
      </c>
      <c r="P227" s="46" t="s">
        <v>121</v>
      </c>
      <c r="Q227" s="46">
        <v>947</v>
      </c>
      <c r="R227" s="46">
        <v>0</v>
      </c>
      <c r="S227" s="46">
        <v>865.76</v>
      </c>
      <c r="T227" s="46">
        <v>81.239999999999995</v>
      </c>
      <c r="U227" s="48">
        <v>0.91420000000000001</v>
      </c>
      <c r="V227" s="46" t="s">
        <v>44</v>
      </c>
      <c r="W227" s="46">
        <v>223298542</v>
      </c>
      <c r="X227" s="46" t="s">
        <v>408</v>
      </c>
      <c r="Y227" s="46" t="s">
        <v>64</v>
      </c>
      <c r="Z227" s="46" t="s">
        <v>276</v>
      </c>
      <c r="AA227" s="12" t="s">
        <v>277</v>
      </c>
      <c r="AB227" s="46">
        <v>0</v>
      </c>
      <c r="AD227" s="46" t="s">
        <v>67</v>
      </c>
      <c r="AE227" s="46">
        <v>23</v>
      </c>
    </row>
    <row r="228" spans="1:31" x14ac:dyDescent="0.25">
      <c r="A228" s="46" t="s">
        <v>57</v>
      </c>
      <c r="B228" s="46" t="s">
        <v>58</v>
      </c>
      <c r="C228" s="12" t="s">
        <v>377</v>
      </c>
      <c r="D228" s="46">
        <v>29428489</v>
      </c>
      <c r="E228" s="47">
        <v>45184</v>
      </c>
      <c r="F228" s="47">
        <v>45184</v>
      </c>
      <c r="G228" s="46">
        <v>1</v>
      </c>
      <c r="H228" s="47">
        <v>45205</v>
      </c>
      <c r="I228" s="47">
        <v>45224</v>
      </c>
      <c r="J228" s="46">
        <v>19</v>
      </c>
      <c r="K228" s="47">
        <v>45139</v>
      </c>
      <c r="L228" s="47">
        <v>45291</v>
      </c>
      <c r="M228" s="46">
        <v>99284</v>
      </c>
      <c r="N228" s="12" t="s">
        <v>155</v>
      </c>
      <c r="O228" s="46" t="s">
        <v>61</v>
      </c>
      <c r="P228" s="46" t="s">
        <v>62</v>
      </c>
      <c r="Q228" s="46">
        <v>947</v>
      </c>
      <c r="R228" s="46">
        <v>0</v>
      </c>
      <c r="S228" s="46">
        <v>865.76</v>
      </c>
      <c r="T228" s="46">
        <v>81.239999999999995</v>
      </c>
      <c r="U228" s="48">
        <v>0.91420000000000001</v>
      </c>
      <c r="V228" s="46" t="s">
        <v>44</v>
      </c>
      <c r="W228" s="46">
        <v>223311852</v>
      </c>
      <c r="X228" s="46" t="s">
        <v>409</v>
      </c>
      <c r="Y228" s="46" t="s">
        <v>64</v>
      </c>
      <c r="Z228" s="46" t="s">
        <v>113</v>
      </c>
      <c r="AA228" s="12" t="s">
        <v>114</v>
      </c>
      <c r="AB228" s="46">
        <v>0</v>
      </c>
      <c r="AD228" s="46" t="s">
        <v>67</v>
      </c>
      <c r="AE228" s="46">
        <v>23</v>
      </c>
    </row>
    <row r="229" spans="1:31" x14ac:dyDescent="0.25">
      <c r="A229" s="46" t="s">
        <v>57</v>
      </c>
      <c r="B229" s="46" t="s">
        <v>58</v>
      </c>
      <c r="C229" s="12" t="s">
        <v>377</v>
      </c>
      <c r="D229" s="46">
        <v>29914829</v>
      </c>
      <c r="E229" s="47">
        <v>45226</v>
      </c>
      <c r="F229" s="47">
        <v>45226</v>
      </c>
      <c r="G229" s="46">
        <v>1</v>
      </c>
      <c r="H229" s="47">
        <v>45237</v>
      </c>
      <c r="I229" s="47">
        <v>45252</v>
      </c>
      <c r="J229" s="46">
        <v>15</v>
      </c>
      <c r="K229" s="47">
        <v>45139</v>
      </c>
      <c r="L229" s="47">
        <v>45291</v>
      </c>
      <c r="M229" s="46">
        <v>99284</v>
      </c>
      <c r="N229" s="12" t="s">
        <v>155</v>
      </c>
      <c r="O229" s="46" t="s">
        <v>61</v>
      </c>
      <c r="P229" s="46" t="s">
        <v>62</v>
      </c>
      <c r="Q229" s="46">
        <v>947</v>
      </c>
      <c r="R229" s="46">
        <v>0</v>
      </c>
      <c r="S229" s="46">
        <v>865.76</v>
      </c>
      <c r="T229" s="46">
        <v>81.239999999999995</v>
      </c>
      <c r="U229" s="48">
        <v>0.91420000000000001</v>
      </c>
      <c r="V229" s="46" t="s">
        <v>44</v>
      </c>
      <c r="W229" s="46">
        <v>223360814</v>
      </c>
      <c r="X229" s="46" t="s">
        <v>410</v>
      </c>
      <c r="Y229" s="46" t="s">
        <v>64</v>
      </c>
      <c r="Z229" s="46" t="s">
        <v>113</v>
      </c>
      <c r="AA229" s="12" t="s">
        <v>114</v>
      </c>
      <c r="AB229" s="46">
        <v>0</v>
      </c>
      <c r="AD229" s="46" t="s">
        <v>67</v>
      </c>
      <c r="AE229" s="46">
        <v>23</v>
      </c>
    </row>
    <row r="230" spans="1:31" x14ac:dyDescent="0.25">
      <c r="A230" s="46" t="s">
        <v>57</v>
      </c>
      <c r="B230" s="46" t="s">
        <v>58</v>
      </c>
      <c r="C230" s="12" t="s">
        <v>377</v>
      </c>
      <c r="D230" s="46">
        <v>29914829</v>
      </c>
      <c r="E230" s="47">
        <v>45226</v>
      </c>
      <c r="F230" s="47">
        <v>45226</v>
      </c>
      <c r="G230" s="46">
        <v>1</v>
      </c>
      <c r="H230" s="47">
        <v>45243</v>
      </c>
      <c r="I230" s="47">
        <v>45252</v>
      </c>
      <c r="J230" s="46">
        <v>9</v>
      </c>
      <c r="K230" s="47">
        <v>45139</v>
      </c>
      <c r="L230" s="47">
        <v>45291</v>
      </c>
      <c r="M230" s="46">
        <v>99284</v>
      </c>
      <c r="N230" s="12" t="s">
        <v>155</v>
      </c>
      <c r="O230" s="46" t="s">
        <v>61</v>
      </c>
      <c r="P230" s="46" t="s">
        <v>62</v>
      </c>
      <c r="Q230" s="46">
        <v>947</v>
      </c>
      <c r="R230" s="46">
        <v>947</v>
      </c>
      <c r="S230" s="46">
        <v>0</v>
      </c>
      <c r="T230" s="46">
        <v>0</v>
      </c>
      <c r="U230" s="48">
        <v>0</v>
      </c>
      <c r="V230" s="46" t="s">
        <v>44</v>
      </c>
      <c r="W230" s="46">
        <v>223369987</v>
      </c>
      <c r="X230" s="46" t="s">
        <v>411</v>
      </c>
      <c r="Y230" s="46" t="s">
        <v>64</v>
      </c>
      <c r="Z230" s="46" t="s">
        <v>113</v>
      </c>
      <c r="AA230" s="12" t="s">
        <v>114</v>
      </c>
      <c r="AB230" s="46">
        <v>0</v>
      </c>
      <c r="AD230" s="46" t="s">
        <v>67</v>
      </c>
      <c r="AE230" s="46">
        <v>23</v>
      </c>
    </row>
    <row r="231" spans="1:31" x14ac:dyDescent="0.25">
      <c r="A231" s="46" t="s">
        <v>57</v>
      </c>
      <c r="B231" s="46" t="s">
        <v>58</v>
      </c>
      <c r="C231" s="12" t="s">
        <v>377</v>
      </c>
      <c r="D231" s="46">
        <v>29280112</v>
      </c>
      <c r="E231" s="47">
        <v>45171</v>
      </c>
      <c r="F231" s="47">
        <v>45171</v>
      </c>
      <c r="G231" s="46">
        <v>1</v>
      </c>
      <c r="H231" s="47">
        <v>45191</v>
      </c>
      <c r="I231" s="47">
        <v>45209</v>
      </c>
      <c r="J231" s="46">
        <v>18</v>
      </c>
      <c r="K231" s="47">
        <v>45139</v>
      </c>
      <c r="L231" s="47">
        <v>45291</v>
      </c>
      <c r="M231" s="46">
        <v>99285</v>
      </c>
      <c r="N231" s="12" t="s">
        <v>155</v>
      </c>
      <c r="O231" s="46" t="s">
        <v>61</v>
      </c>
      <c r="P231" s="46" t="s">
        <v>62</v>
      </c>
      <c r="Q231" s="49">
        <v>1374</v>
      </c>
      <c r="R231" s="46">
        <v>0</v>
      </c>
      <c r="S231" s="49">
        <v>1273</v>
      </c>
      <c r="T231" s="46">
        <v>101</v>
      </c>
      <c r="U231" s="48">
        <v>0.9264</v>
      </c>
      <c r="V231" s="46" t="s">
        <v>44</v>
      </c>
      <c r="W231" s="46">
        <v>223294569</v>
      </c>
      <c r="X231" s="46" t="s">
        <v>412</v>
      </c>
      <c r="Y231" s="46" t="s">
        <v>64</v>
      </c>
      <c r="Z231" s="46" t="s">
        <v>203</v>
      </c>
      <c r="AA231" s="12" t="s">
        <v>204</v>
      </c>
      <c r="AB231" s="46">
        <v>0</v>
      </c>
      <c r="AD231" s="46" t="s">
        <v>67</v>
      </c>
      <c r="AE231" s="46">
        <v>23</v>
      </c>
    </row>
    <row r="232" spans="1:31" x14ac:dyDescent="0.25">
      <c r="A232" s="46" t="s">
        <v>57</v>
      </c>
      <c r="B232" s="46" t="s">
        <v>58</v>
      </c>
      <c r="C232" s="12" t="s">
        <v>377</v>
      </c>
      <c r="D232" s="46">
        <v>29241234</v>
      </c>
      <c r="E232" s="47">
        <v>45169</v>
      </c>
      <c r="F232" s="47">
        <v>45169</v>
      </c>
      <c r="G232" s="46">
        <v>1</v>
      </c>
      <c r="H232" s="47">
        <v>45197</v>
      </c>
      <c r="I232" s="47">
        <v>45224</v>
      </c>
      <c r="J232" s="46">
        <v>27</v>
      </c>
      <c r="K232" s="47">
        <v>45139</v>
      </c>
      <c r="L232" s="47">
        <v>45291</v>
      </c>
      <c r="M232" s="46">
        <v>99285</v>
      </c>
      <c r="N232" s="12" t="s">
        <v>155</v>
      </c>
      <c r="O232" s="46" t="s">
        <v>61</v>
      </c>
      <c r="P232" s="46" t="s">
        <v>62</v>
      </c>
      <c r="Q232" s="49">
        <v>1374</v>
      </c>
      <c r="R232" s="46">
        <v>0</v>
      </c>
      <c r="S232" s="49">
        <v>1273</v>
      </c>
      <c r="T232" s="46">
        <v>101</v>
      </c>
      <c r="U232" s="48">
        <v>0.9264</v>
      </c>
      <c r="V232" s="46" t="s">
        <v>44</v>
      </c>
      <c r="W232" s="46">
        <v>223301410</v>
      </c>
      <c r="X232" s="46" t="s">
        <v>413</v>
      </c>
      <c r="Y232" s="46" t="s">
        <v>64</v>
      </c>
      <c r="Z232" s="46" t="s">
        <v>113</v>
      </c>
      <c r="AA232" s="12" t="s">
        <v>114</v>
      </c>
      <c r="AB232" s="46">
        <v>0</v>
      </c>
      <c r="AD232" s="46" t="s">
        <v>67</v>
      </c>
      <c r="AE232" s="46">
        <v>23</v>
      </c>
    </row>
    <row r="233" spans="1:31" x14ac:dyDescent="0.25">
      <c r="A233" s="46" t="s">
        <v>57</v>
      </c>
      <c r="B233" s="46" t="s">
        <v>58</v>
      </c>
      <c r="C233" s="12" t="s">
        <v>377</v>
      </c>
      <c r="D233" s="46">
        <v>29241234</v>
      </c>
      <c r="E233" s="47">
        <v>45169</v>
      </c>
      <c r="F233" s="47">
        <v>45169</v>
      </c>
      <c r="G233" s="46">
        <v>1</v>
      </c>
      <c r="H233" s="47">
        <v>45197</v>
      </c>
      <c r="I233" s="47">
        <v>45224</v>
      </c>
      <c r="J233" s="46">
        <v>27</v>
      </c>
      <c r="K233" s="47">
        <v>45139</v>
      </c>
      <c r="L233" s="47">
        <v>45291</v>
      </c>
      <c r="M233" s="46">
        <v>93010</v>
      </c>
      <c r="N233" s="12" t="s">
        <v>310</v>
      </c>
      <c r="O233" s="46" t="s">
        <v>61</v>
      </c>
      <c r="P233" s="46" t="s">
        <v>62</v>
      </c>
      <c r="Q233" s="46">
        <v>65</v>
      </c>
      <c r="R233" s="46">
        <v>0</v>
      </c>
      <c r="S233" s="46">
        <v>58.58</v>
      </c>
      <c r="T233" s="46">
        <v>6.42</v>
      </c>
      <c r="U233" s="48">
        <v>0.9012</v>
      </c>
      <c r="V233" s="46" t="s">
        <v>44</v>
      </c>
      <c r="W233" s="46">
        <v>223301410</v>
      </c>
      <c r="X233" s="46" t="s">
        <v>413</v>
      </c>
      <c r="Y233" s="46" t="s">
        <v>64</v>
      </c>
      <c r="Z233" s="46" t="s">
        <v>113</v>
      </c>
      <c r="AA233" s="12" t="s">
        <v>114</v>
      </c>
      <c r="AB233" s="46">
        <v>0</v>
      </c>
      <c r="AD233" s="46" t="s">
        <v>67</v>
      </c>
      <c r="AE233" s="46">
        <v>23</v>
      </c>
    </row>
    <row r="234" spans="1:31" x14ac:dyDescent="0.25">
      <c r="A234" s="46" t="s">
        <v>57</v>
      </c>
      <c r="B234" s="46" t="s">
        <v>58</v>
      </c>
      <c r="C234" s="12" t="s">
        <v>377</v>
      </c>
      <c r="D234" s="46">
        <v>29174222</v>
      </c>
      <c r="E234" s="47">
        <v>45163</v>
      </c>
      <c r="F234" s="47">
        <v>45163</v>
      </c>
      <c r="G234" s="46">
        <v>1</v>
      </c>
      <c r="H234" s="47">
        <v>45212</v>
      </c>
      <c r="I234" s="47">
        <v>45231</v>
      </c>
      <c r="J234" s="46">
        <v>19</v>
      </c>
      <c r="K234" s="47">
        <v>45139</v>
      </c>
      <c r="L234" s="47">
        <v>45291</v>
      </c>
      <c r="M234" s="46">
        <v>99285</v>
      </c>
      <c r="N234" s="12" t="s">
        <v>155</v>
      </c>
      <c r="O234" s="46" t="s">
        <v>61</v>
      </c>
      <c r="P234" s="46" t="s">
        <v>62</v>
      </c>
      <c r="Q234" s="49">
        <v>1374</v>
      </c>
      <c r="R234" s="46">
        <v>0</v>
      </c>
      <c r="S234" s="49">
        <v>1273</v>
      </c>
      <c r="T234" s="46">
        <v>101</v>
      </c>
      <c r="U234" s="48">
        <v>0.9264</v>
      </c>
      <c r="V234" s="46" t="s">
        <v>44</v>
      </c>
      <c r="W234" s="46">
        <v>223318337</v>
      </c>
      <c r="X234" s="46" t="s">
        <v>414</v>
      </c>
      <c r="Y234" s="46" t="s">
        <v>64</v>
      </c>
      <c r="Z234" s="46" t="s">
        <v>298</v>
      </c>
      <c r="AA234" s="12" t="s">
        <v>299</v>
      </c>
      <c r="AB234" s="46">
        <v>0</v>
      </c>
      <c r="AD234" s="46" t="s">
        <v>67</v>
      </c>
      <c r="AE234" s="46">
        <v>23</v>
      </c>
    </row>
    <row r="235" spans="1:31" x14ac:dyDescent="0.25">
      <c r="A235" s="46" t="s">
        <v>57</v>
      </c>
      <c r="B235" s="46" t="s">
        <v>58</v>
      </c>
      <c r="C235" s="12" t="s">
        <v>377</v>
      </c>
      <c r="D235" s="46">
        <v>29174222</v>
      </c>
      <c r="E235" s="47">
        <v>45163</v>
      </c>
      <c r="F235" s="47">
        <v>45163</v>
      </c>
      <c r="G235" s="46">
        <v>1</v>
      </c>
      <c r="H235" s="47">
        <v>45224</v>
      </c>
      <c r="I235" s="47">
        <v>45238</v>
      </c>
      <c r="J235" s="46">
        <v>14</v>
      </c>
      <c r="K235" s="47">
        <v>45139</v>
      </c>
      <c r="L235" s="47">
        <v>45291</v>
      </c>
      <c r="M235" s="46">
        <v>99285</v>
      </c>
      <c r="N235" s="12" t="s">
        <v>155</v>
      </c>
      <c r="O235" s="46" t="s">
        <v>61</v>
      </c>
      <c r="P235" s="46" t="s">
        <v>62</v>
      </c>
      <c r="Q235" s="49">
        <v>1374</v>
      </c>
      <c r="R235" s="49">
        <v>1374</v>
      </c>
      <c r="S235" s="46">
        <v>0</v>
      </c>
      <c r="T235" s="46">
        <v>0</v>
      </c>
      <c r="U235" s="48">
        <v>0</v>
      </c>
      <c r="V235" s="46" t="s">
        <v>44</v>
      </c>
      <c r="W235" s="46">
        <v>223339653</v>
      </c>
      <c r="X235" s="46" t="s">
        <v>415</v>
      </c>
      <c r="Y235" s="46" t="s">
        <v>64</v>
      </c>
      <c r="Z235" s="46" t="s">
        <v>298</v>
      </c>
      <c r="AA235" s="12" t="s">
        <v>299</v>
      </c>
      <c r="AB235" s="46">
        <v>0</v>
      </c>
      <c r="AD235" s="46" t="s">
        <v>67</v>
      </c>
      <c r="AE235" s="46">
        <v>23</v>
      </c>
    </row>
    <row r="236" spans="1:31" x14ac:dyDescent="0.25">
      <c r="A236" s="46" t="s">
        <v>57</v>
      </c>
      <c r="B236" s="46" t="s">
        <v>58</v>
      </c>
      <c r="C236" s="12" t="s">
        <v>416</v>
      </c>
      <c r="D236" s="46">
        <v>29428987</v>
      </c>
      <c r="E236" s="47">
        <v>45187</v>
      </c>
      <c r="F236" s="47">
        <v>45187</v>
      </c>
      <c r="G236" s="46">
        <v>1</v>
      </c>
      <c r="H236" s="47">
        <v>45205</v>
      </c>
      <c r="I236" s="47">
        <v>45224</v>
      </c>
      <c r="J236" s="46">
        <v>19</v>
      </c>
      <c r="K236" s="47">
        <v>45139</v>
      </c>
      <c r="L236" s="47">
        <v>45291</v>
      </c>
      <c r="M236" s="46">
        <v>71045</v>
      </c>
      <c r="N236" s="12" t="s">
        <v>111</v>
      </c>
      <c r="O236" s="46" t="s">
        <v>61</v>
      </c>
      <c r="P236" s="46" t="s">
        <v>62</v>
      </c>
      <c r="Q236" s="46">
        <v>139</v>
      </c>
      <c r="R236" s="46">
        <v>0</v>
      </c>
      <c r="S236" s="46">
        <v>132.05000000000001</v>
      </c>
      <c r="T236" s="46">
        <v>6.95</v>
      </c>
      <c r="U236" s="48">
        <v>0.95</v>
      </c>
      <c r="V236" s="46" t="s">
        <v>44</v>
      </c>
      <c r="W236" s="46">
        <v>223311557</v>
      </c>
      <c r="X236" s="46" t="s">
        <v>417</v>
      </c>
      <c r="Y236" s="46" t="s">
        <v>64</v>
      </c>
      <c r="Z236" s="46" t="s">
        <v>334</v>
      </c>
      <c r="AA236" s="12" t="s">
        <v>335</v>
      </c>
      <c r="AB236" s="46">
        <v>0</v>
      </c>
      <c r="AD236" s="46" t="s">
        <v>67</v>
      </c>
      <c r="AE236" s="46">
        <v>23</v>
      </c>
    </row>
    <row r="237" spans="1:31" x14ac:dyDescent="0.25">
      <c r="A237" s="46" t="s">
        <v>57</v>
      </c>
      <c r="B237" s="46" t="s">
        <v>58</v>
      </c>
      <c r="C237" s="12" t="s">
        <v>416</v>
      </c>
      <c r="D237" s="46">
        <v>29428987</v>
      </c>
      <c r="E237" s="47">
        <v>45187</v>
      </c>
      <c r="F237" s="47">
        <v>45187</v>
      </c>
      <c r="G237" s="46">
        <v>1</v>
      </c>
      <c r="H237" s="47">
        <v>45205</v>
      </c>
      <c r="I237" s="47">
        <v>45224</v>
      </c>
      <c r="J237" s="46">
        <v>19</v>
      </c>
      <c r="K237" s="47">
        <v>45139</v>
      </c>
      <c r="L237" s="47">
        <v>45291</v>
      </c>
      <c r="M237" s="46">
        <v>71045</v>
      </c>
      <c r="N237" s="12" t="s">
        <v>111</v>
      </c>
      <c r="O237" s="46" t="s">
        <v>61</v>
      </c>
      <c r="P237" s="46" t="s">
        <v>62</v>
      </c>
      <c r="Q237" s="46">
        <v>139</v>
      </c>
      <c r="R237" s="46">
        <v>0</v>
      </c>
      <c r="S237" s="46">
        <v>132.05000000000001</v>
      </c>
      <c r="T237" s="46">
        <v>6.95</v>
      </c>
      <c r="U237" s="48">
        <v>0.95</v>
      </c>
      <c r="V237" s="46" t="s">
        <v>44</v>
      </c>
      <c r="W237" s="46">
        <v>223311558</v>
      </c>
      <c r="X237" s="46" t="s">
        <v>418</v>
      </c>
      <c r="Y237" s="46" t="s">
        <v>64</v>
      </c>
      <c r="Z237" s="46" t="s">
        <v>334</v>
      </c>
      <c r="AA237" s="12" t="s">
        <v>335</v>
      </c>
      <c r="AB237" s="46">
        <v>0</v>
      </c>
      <c r="AD237" s="46" t="s">
        <v>67</v>
      </c>
      <c r="AE237" s="46">
        <v>23</v>
      </c>
    </row>
    <row r="238" spans="1:31" x14ac:dyDescent="0.25">
      <c r="A238" s="46" t="s">
        <v>57</v>
      </c>
      <c r="B238" s="46" t="s">
        <v>58</v>
      </c>
      <c r="C238" s="12" t="s">
        <v>416</v>
      </c>
      <c r="D238" s="46">
        <v>28996289</v>
      </c>
      <c r="E238" s="47">
        <v>45152</v>
      </c>
      <c r="F238" s="47">
        <v>45152</v>
      </c>
      <c r="G238" s="46">
        <v>1</v>
      </c>
      <c r="H238" s="47">
        <v>45196</v>
      </c>
      <c r="I238" s="47">
        <v>45209</v>
      </c>
      <c r="J238" s="46">
        <v>13</v>
      </c>
      <c r="K238" s="47">
        <v>45139</v>
      </c>
      <c r="L238" s="47">
        <v>45291</v>
      </c>
      <c r="M238" s="46">
        <v>76815</v>
      </c>
      <c r="N238" s="12" t="s">
        <v>419</v>
      </c>
      <c r="O238" s="46" t="s">
        <v>215</v>
      </c>
      <c r="P238" s="46" t="s">
        <v>216</v>
      </c>
      <c r="Q238" s="46">
        <v>376</v>
      </c>
      <c r="R238" s="46">
        <v>0</v>
      </c>
      <c r="S238" s="46">
        <v>351.14</v>
      </c>
      <c r="T238" s="46">
        <v>24.86</v>
      </c>
      <c r="U238" s="48">
        <v>0.93379999999999996</v>
      </c>
      <c r="V238" s="46" t="s">
        <v>44</v>
      </c>
      <c r="W238" s="46">
        <v>223299502</v>
      </c>
      <c r="X238" s="46" t="s">
        <v>420</v>
      </c>
      <c r="Y238" s="46" t="s">
        <v>64</v>
      </c>
      <c r="Z238" s="46" t="s">
        <v>218</v>
      </c>
      <c r="AA238" s="12" t="s">
        <v>219</v>
      </c>
      <c r="AB238" s="46">
        <v>0</v>
      </c>
      <c r="AD238" s="46" t="s">
        <v>67</v>
      </c>
      <c r="AE238" s="46">
        <v>22</v>
      </c>
    </row>
    <row r="239" spans="1:31" x14ac:dyDescent="0.25">
      <c r="A239" s="46" t="s">
        <v>57</v>
      </c>
      <c r="B239" s="46" t="s">
        <v>58</v>
      </c>
      <c r="C239" s="12" t="s">
        <v>416</v>
      </c>
      <c r="D239" s="46">
        <v>29914267</v>
      </c>
      <c r="E239" s="47">
        <v>45228</v>
      </c>
      <c r="F239" s="47">
        <v>45228</v>
      </c>
      <c r="G239" s="46">
        <v>1</v>
      </c>
      <c r="H239" s="47">
        <v>45244</v>
      </c>
      <c r="I239" s="47">
        <v>45252</v>
      </c>
      <c r="J239" s="46">
        <v>8</v>
      </c>
      <c r="K239" s="47">
        <v>45139</v>
      </c>
      <c r="L239" s="47">
        <v>45291</v>
      </c>
      <c r="M239" s="46">
        <v>73110</v>
      </c>
      <c r="N239" s="12" t="s">
        <v>421</v>
      </c>
      <c r="O239" s="46" t="s">
        <v>61</v>
      </c>
      <c r="P239" s="46" t="s">
        <v>62</v>
      </c>
      <c r="Q239" s="46">
        <v>110</v>
      </c>
      <c r="R239" s="46">
        <v>0</v>
      </c>
      <c r="S239" s="46">
        <v>103.32</v>
      </c>
      <c r="T239" s="46">
        <v>6.68</v>
      </c>
      <c r="U239" s="48">
        <v>0.93920000000000003</v>
      </c>
      <c r="V239" s="46" t="s">
        <v>44</v>
      </c>
      <c r="W239" s="46">
        <v>223371643</v>
      </c>
      <c r="X239" s="46" t="s">
        <v>422</v>
      </c>
      <c r="Y239" s="46" t="s">
        <v>64</v>
      </c>
      <c r="Z239" s="46" t="s">
        <v>423</v>
      </c>
      <c r="AA239" s="12" t="s">
        <v>424</v>
      </c>
      <c r="AB239" s="46">
        <v>0</v>
      </c>
      <c r="AD239" s="46" t="s">
        <v>67</v>
      </c>
      <c r="AE239" s="46">
        <v>23</v>
      </c>
    </row>
    <row r="240" spans="1:31" x14ac:dyDescent="0.25">
      <c r="A240" s="46" t="s">
        <v>57</v>
      </c>
      <c r="B240" s="46" t="s">
        <v>58</v>
      </c>
      <c r="C240" s="12" t="s">
        <v>416</v>
      </c>
      <c r="D240" s="46">
        <v>29280477</v>
      </c>
      <c r="E240" s="47">
        <v>45173</v>
      </c>
      <c r="F240" s="47">
        <v>45173</v>
      </c>
      <c r="G240" s="46">
        <v>1</v>
      </c>
      <c r="H240" s="47">
        <v>45188</v>
      </c>
      <c r="I240" s="47">
        <v>45203</v>
      </c>
      <c r="J240" s="46">
        <v>15</v>
      </c>
      <c r="K240" s="47">
        <v>45139</v>
      </c>
      <c r="L240" s="47">
        <v>45291</v>
      </c>
      <c r="M240" s="46">
        <v>71045</v>
      </c>
      <c r="N240" s="12" t="s">
        <v>111</v>
      </c>
      <c r="O240" s="46" t="s">
        <v>61</v>
      </c>
      <c r="P240" s="46" t="s">
        <v>62</v>
      </c>
      <c r="Q240" s="46">
        <v>139</v>
      </c>
      <c r="R240" s="46">
        <v>0</v>
      </c>
      <c r="S240" s="46">
        <v>132.05000000000001</v>
      </c>
      <c r="T240" s="46">
        <v>6.95</v>
      </c>
      <c r="U240" s="48">
        <v>0.95</v>
      </c>
      <c r="V240" s="46" t="s">
        <v>44</v>
      </c>
      <c r="W240" s="46">
        <v>223291020</v>
      </c>
      <c r="X240" s="46" t="s">
        <v>425</v>
      </c>
      <c r="Y240" s="46" t="s">
        <v>64</v>
      </c>
      <c r="Z240" s="46" t="s">
        <v>426</v>
      </c>
      <c r="AA240" s="12" t="s">
        <v>427</v>
      </c>
      <c r="AB240" s="46">
        <v>0</v>
      </c>
      <c r="AD240" s="46" t="s">
        <v>67</v>
      </c>
      <c r="AE240" s="46">
        <v>22</v>
      </c>
    </row>
    <row r="241" spans="1:31" x14ac:dyDescent="0.25">
      <c r="A241" s="46" t="s">
        <v>57</v>
      </c>
      <c r="B241" s="46" t="s">
        <v>58</v>
      </c>
      <c r="C241" s="12" t="s">
        <v>416</v>
      </c>
      <c r="D241" s="46">
        <v>29280477</v>
      </c>
      <c r="E241" s="47">
        <v>45173</v>
      </c>
      <c r="F241" s="47">
        <v>45173</v>
      </c>
      <c r="G241" s="46">
        <v>1</v>
      </c>
      <c r="H241" s="47">
        <v>45188</v>
      </c>
      <c r="I241" s="47">
        <v>45203</v>
      </c>
      <c r="J241" s="46">
        <v>15</v>
      </c>
      <c r="K241" s="47">
        <v>45139</v>
      </c>
      <c r="L241" s="47">
        <v>45291</v>
      </c>
      <c r="M241" s="46">
        <v>70450</v>
      </c>
      <c r="N241" s="12" t="s">
        <v>119</v>
      </c>
      <c r="O241" s="46" t="s">
        <v>61</v>
      </c>
      <c r="P241" s="46" t="s">
        <v>62</v>
      </c>
      <c r="Q241" s="46">
        <v>504</v>
      </c>
      <c r="R241" s="46">
        <v>0</v>
      </c>
      <c r="S241" s="46">
        <v>471.92</v>
      </c>
      <c r="T241" s="46">
        <v>32.08</v>
      </c>
      <c r="U241" s="48">
        <v>0.93630000000000002</v>
      </c>
      <c r="V241" s="46" t="s">
        <v>44</v>
      </c>
      <c r="W241" s="46">
        <v>223291073</v>
      </c>
      <c r="X241" s="46" t="s">
        <v>428</v>
      </c>
      <c r="Y241" s="46" t="s">
        <v>64</v>
      </c>
      <c r="Z241" s="46" t="s">
        <v>426</v>
      </c>
      <c r="AA241" s="12" t="s">
        <v>427</v>
      </c>
      <c r="AB241" s="46">
        <v>0</v>
      </c>
      <c r="AD241" s="46" t="s">
        <v>67</v>
      </c>
      <c r="AE241" s="46">
        <v>23</v>
      </c>
    </row>
    <row r="242" spans="1:31" x14ac:dyDescent="0.25">
      <c r="A242" s="46" t="s">
        <v>57</v>
      </c>
      <c r="B242" s="46" t="s">
        <v>58</v>
      </c>
      <c r="C242" s="12" t="s">
        <v>416</v>
      </c>
      <c r="D242" s="46">
        <v>29508388</v>
      </c>
      <c r="E242" s="47">
        <v>45192</v>
      </c>
      <c r="F242" s="47">
        <v>45192</v>
      </c>
      <c r="G242" s="46">
        <v>1</v>
      </c>
      <c r="H242" s="47">
        <v>45212</v>
      </c>
      <c r="I242" s="47">
        <v>45224</v>
      </c>
      <c r="J242" s="46">
        <v>12</v>
      </c>
      <c r="K242" s="47">
        <v>45139</v>
      </c>
      <c r="L242" s="47">
        <v>45291</v>
      </c>
      <c r="M242" s="46">
        <v>71045</v>
      </c>
      <c r="N242" s="12" t="s">
        <v>111</v>
      </c>
      <c r="O242" s="46" t="s">
        <v>61</v>
      </c>
      <c r="P242" s="46" t="s">
        <v>62</v>
      </c>
      <c r="Q242" s="46">
        <v>139</v>
      </c>
      <c r="R242" s="46">
        <v>0</v>
      </c>
      <c r="S242" s="46">
        <v>132.05000000000001</v>
      </c>
      <c r="T242" s="46">
        <v>6.95</v>
      </c>
      <c r="U242" s="48">
        <v>0.95</v>
      </c>
      <c r="V242" s="46" t="s">
        <v>44</v>
      </c>
      <c r="W242" s="46">
        <v>223318224</v>
      </c>
      <c r="X242" s="46" t="s">
        <v>429</v>
      </c>
      <c r="Y242" s="46" t="s">
        <v>64</v>
      </c>
      <c r="Z242" s="46" t="s">
        <v>316</v>
      </c>
      <c r="AA242" s="12" t="s">
        <v>317</v>
      </c>
      <c r="AB242" s="46">
        <v>0</v>
      </c>
      <c r="AD242" s="46" t="s">
        <v>67</v>
      </c>
      <c r="AE242" s="46">
        <v>23</v>
      </c>
    </row>
    <row r="243" spans="1:31" x14ac:dyDescent="0.25">
      <c r="A243" s="46" t="s">
        <v>57</v>
      </c>
      <c r="B243" s="46" t="s">
        <v>58</v>
      </c>
      <c r="C243" s="12" t="s">
        <v>416</v>
      </c>
      <c r="D243" s="46">
        <v>29616920</v>
      </c>
      <c r="E243" s="47">
        <v>45202</v>
      </c>
      <c r="F243" s="47">
        <v>45202</v>
      </c>
      <c r="G243" s="46">
        <v>1</v>
      </c>
      <c r="H243" s="47">
        <v>45224</v>
      </c>
      <c r="I243" s="47">
        <v>45238</v>
      </c>
      <c r="J243" s="46">
        <v>14</v>
      </c>
      <c r="K243" s="47">
        <v>45139</v>
      </c>
      <c r="L243" s="47">
        <v>45291</v>
      </c>
      <c r="M243" s="46">
        <v>73590</v>
      </c>
      <c r="N243" s="12" t="s">
        <v>430</v>
      </c>
      <c r="O243" s="46" t="s">
        <v>61</v>
      </c>
      <c r="P243" s="46" t="s">
        <v>62</v>
      </c>
      <c r="Q243" s="46">
        <v>110</v>
      </c>
      <c r="R243" s="46">
        <v>0</v>
      </c>
      <c r="S243" s="46">
        <v>103.85</v>
      </c>
      <c r="T243" s="46">
        <v>6.15</v>
      </c>
      <c r="U243" s="48">
        <v>0.94399999999999995</v>
      </c>
      <c r="V243" s="46" t="s">
        <v>44</v>
      </c>
      <c r="W243" s="46">
        <v>223339065</v>
      </c>
      <c r="X243" s="46" t="s">
        <v>431</v>
      </c>
      <c r="Y243" s="46" t="s">
        <v>64</v>
      </c>
      <c r="Z243" s="46" t="s">
        <v>117</v>
      </c>
      <c r="AA243" s="12" t="s">
        <v>118</v>
      </c>
      <c r="AB243" s="46">
        <v>0</v>
      </c>
      <c r="AD243" s="46" t="s">
        <v>67</v>
      </c>
      <c r="AE243" s="46">
        <v>23</v>
      </c>
    </row>
    <row r="244" spans="1:31" x14ac:dyDescent="0.25">
      <c r="A244" s="46" t="s">
        <v>57</v>
      </c>
      <c r="B244" s="46" t="s">
        <v>58</v>
      </c>
      <c r="C244" s="12" t="s">
        <v>416</v>
      </c>
      <c r="D244" s="46">
        <v>29566528</v>
      </c>
      <c r="E244" s="47">
        <v>45198</v>
      </c>
      <c r="F244" s="47">
        <v>45198</v>
      </c>
      <c r="G244" s="46">
        <v>1</v>
      </c>
      <c r="H244" s="47">
        <v>45216</v>
      </c>
      <c r="I244" s="47">
        <v>45231</v>
      </c>
      <c r="J244" s="46">
        <v>15</v>
      </c>
      <c r="K244" s="47">
        <v>45139</v>
      </c>
      <c r="L244" s="47">
        <v>45291</v>
      </c>
      <c r="M244" s="46">
        <v>74176</v>
      </c>
      <c r="N244" s="12" t="s">
        <v>432</v>
      </c>
      <c r="O244" s="46" t="s">
        <v>61</v>
      </c>
      <c r="P244" s="46" t="s">
        <v>62</v>
      </c>
      <c r="Q244" s="49">
        <v>1278</v>
      </c>
      <c r="R244" s="46">
        <v>0</v>
      </c>
      <c r="S244" s="49">
        <v>1211.98</v>
      </c>
      <c r="T244" s="46">
        <v>66.02</v>
      </c>
      <c r="U244" s="48">
        <v>0.94830000000000003</v>
      </c>
      <c r="V244" s="46" t="s">
        <v>44</v>
      </c>
      <c r="W244" s="46">
        <v>223326518</v>
      </c>
      <c r="X244" s="46" t="s">
        <v>433</v>
      </c>
      <c r="Y244" s="46" t="s">
        <v>64</v>
      </c>
      <c r="Z244" s="46" t="s">
        <v>434</v>
      </c>
      <c r="AA244" s="12"/>
      <c r="AB244" s="46">
        <v>0</v>
      </c>
      <c r="AD244" s="46" t="s">
        <v>67</v>
      </c>
      <c r="AE244" s="46">
        <v>23</v>
      </c>
    </row>
    <row r="245" spans="1:31" x14ac:dyDescent="0.25">
      <c r="A245" s="46" t="s">
        <v>57</v>
      </c>
      <c r="B245" s="46" t="s">
        <v>58</v>
      </c>
      <c r="C245" s="12" t="s">
        <v>416</v>
      </c>
      <c r="D245" s="46">
        <v>29645065</v>
      </c>
      <c r="E245" s="47">
        <v>45163</v>
      </c>
      <c r="F245" s="47">
        <v>45163</v>
      </c>
      <c r="G245" s="46">
        <v>1</v>
      </c>
      <c r="H245" s="47">
        <v>45182</v>
      </c>
      <c r="I245" s="47">
        <v>45224</v>
      </c>
      <c r="J245" s="46">
        <v>42</v>
      </c>
      <c r="K245" s="47">
        <v>45139</v>
      </c>
      <c r="L245" s="47">
        <v>45291</v>
      </c>
      <c r="M245" s="46">
        <v>76815</v>
      </c>
      <c r="N245" s="12" t="s">
        <v>419</v>
      </c>
      <c r="O245" s="46" t="s">
        <v>61</v>
      </c>
      <c r="P245" s="46" t="s">
        <v>62</v>
      </c>
      <c r="Q245" s="46">
        <v>376</v>
      </c>
      <c r="R245" s="46">
        <v>0</v>
      </c>
      <c r="S245" s="46">
        <v>351.14</v>
      </c>
      <c r="T245" s="46">
        <v>24.86</v>
      </c>
      <c r="U245" s="48">
        <v>0.93379999999999996</v>
      </c>
      <c r="V245" s="46" t="s">
        <v>44</v>
      </c>
      <c r="W245" s="46">
        <v>223282758</v>
      </c>
      <c r="X245" s="46" t="s">
        <v>435</v>
      </c>
      <c r="Y245" s="46" t="s">
        <v>64</v>
      </c>
      <c r="Z245" s="46" t="s">
        <v>247</v>
      </c>
      <c r="AA245" s="12" t="s">
        <v>248</v>
      </c>
      <c r="AB245" s="46">
        <v>0</v>
      </c>
      <c r="AD245" s="46" t="s">
        <v>67</v>
      </c>
      <c r="AE245" s="46">
        <v>22</v>
      </c>
    </row>
    <row r="246" spans="1:31" x14ac:dyDescent="0.25">
      <c r="A246" s="46" t="s">
        <v>57</v>
      </c>
      <c r="B246" s="46" t="s">
        <v>58</v>
      </c>
      <c r="C246" s="12" t="s">
        <v>416</v>
      </c>
      <c r="D246" s="46">
        <v>29695997</v>
      </c>
      <c r="E246" s="47">
        <v>45212</v>
      </c>
      <c r="F246" s="47">
        <v>45212</v>
      </c>
      <c r="G246" s="46">
        <v>1</v>
      </c>
      <c r="H246" s="47">
        <v>45224</v>
      </c>
      <c r="I246" s="47">
        <v>45238</v>
      </c>
      <c r="J246" s="46">
        <v>14</v>
      </c>
      <c r="K246" s="47">
        <v>45139</v>
      </c>
      <c r="L246" s="47">
        <v>45291</v>
      </c>
      <c r="M246" s="46">
        <v>71045</v>
      </c>
      <c r="N246" s="12" t="s">
        <v>111</v>
      </c>
      <c r="O246" s="46" t="s">
        <v>61</v>
      </c>
      <c r="P246" s="46" t="s">
        <v>62</v>
      </c>
      <c r="Q246" s="46">
        <v>139</v>
      </c>
      <c r="R246" s="46">
        <v>0</v>
      </c>
      <c r="S246" s="46">
        <v>132.05000000000001</v>
      </c>
      <c r="T246" s="46">
        <v>6.95</v>
      </c>
      <c r="U246" s="48">
        <v>0.95</v>
      </c>
      <c r="V246" s="46" t="s">
        <v>44</v>
      </c>
      <c r="W246" s="46">
        <v>223338960</v>
      </c>
      <c r="X246" s="46" t="s">
        <v>436</v>
      </c>
      <c r="Y246" s="46" t="s">
        <v>64</v>
      </c>
      <c r="Z246" s="46" t="s">
        <v>437</v>
      </c>
      <c r="AA246" s="12"/>
      <c r="AB246" s="46">
        <v>0</v>
      </c>
      <c r="AD246" s="46" t="s">
        <v>67</v>
      </c>
      <c r="AE246" s="46">
        <v>21</v>
      </c>
    </row>
    <row r="247" spans="1:31" x14ac:dyDescent="0.25">
      <c r="A247" s="46" t="s">
        <v>57</v>
      </c>
      <c r="B247" s="46" t="s">
        <v>58</v>
      </c>
      <c r="C247" s="12" t="s">
        <v>416</v>
      </c>
      <c r="D247" s="46">
        <v>29695997</v>
      </c>
      <c r="E247" s="47">
        <v>45210</v>
      </c>
      <c r="F247" s="47">
        <v>45210</v>
      </c>
      <c r="G247" s="46">
        <v>1</v>
      </c>
      <c r="H247" s="47">
        <v>45230</v>
      </c>
      <c r="I247" s="47">
        <v>45245</v>
      </c>
      <c r="J247" s="46">
        <v>15</v>
      </c>
      <c r="K247" s="47">
        <v>45139</v>
      </c>
      <c r="L247" s="47">
        <v>45291</v>
      </c>
      <c r="M247" s="46">
        <v>71045</v>
      </c>
      <c r="N247" s="12" t="s">
        <v>111</v>
      </c>
      <c r="O247" s="46" t="s">
        <v>61</v>
      </c>
      <c r="P247" s="46" t="s">
        <v>62</v>
      </c>
      <c r="Q247" s="46">
        <v>139</v>
      </c>
      <c r="R247" s="46">
        <v>0</v>
      </c>
      <c r="S247" s="46">
        <v>132.05000000000001</v>
      </c>
      <c r="T247" s="46">
        <v>6.95</v>
      </c>
      <c r="U247" s="48">
        <v>0.95</v>
      </c>
      <c r="V247" s="46" t="s">
        <v>44</v>
      </c>
      <c r="W247" s="46">
        <v>223348673</v>
      </c>
      <c r="X247" s="46" t="s">
        <v>438</v>
      </c>
      <c r="Y247" s="46" t="s">
        <v>64</v>
      </c>
      <c r="Z247" s="46" t="s">
        <v>439</v>
      </c>
      <c r="AA247" s="12" t="s">
        <v>440</v>
      </c>
      <c r="AB247" s="46">
        <v>0</v>
      </c>
      <c r="AD247" s="46" t="s">
        <v>67</v>
      </c>
      <c r="AE247" s="46">
        <v>23</v>
      </c>
    </row>
    <row r="248" spans="1:31" x14ac:dyDescent="0.25">
      <c r="A248" s="46" t="s">
        <v>57</v>
      </c>
      <c r="B248" s="46" t="s">
        <v>58</v>
      </c>
      <c r="C248" s="12" t="s">
        <v>416</v>
      </c>
      <c r="D248" s="46">
        <v>29695997</v>
      </c>
      <c r="E248" s="47">
        <v>45210</v>
      </c>
      <c r="F248" s="47">
        <v>45210</v>
      </c>
      <c r="G248" s="46">
        <v>1</v>
      </c>
      <c r="H248" s="47">
        <v>45230</v>
      </c>
      <c r="I248" s="47">
        <v>45245</v>
      </c>
      <c r="J248" s="46">
        <v>15</v>
      </c>
      <c r="K248" s="47">
        <v>45139</v>
      </c>
      <c r="L248" s="47">
        <v>45291</v>
      </c>
      <c r="M248" s="46">
        <v>71045</v>
      </c>
      <c r="N248" s="12" t="s">
        <v>111</v>
      </c>
      <c r="O248" s="46" t="s">
        <v>61</v>
      </c>
      <c r="P248" s="46" t="s">
        <v>62</v>
      </c>
      <c r="Q248" s="46">
        <v>139</v>
      </c>
      <c r="R248" s="46">
        <v>0</v>
      </c>
      <c r="S248" s="46">
        <v>132.05000000000001</v>
      </c>
      <c r="T248" s="46">
        <v>6.95</v>
      </c>
      <c r="U248" s="48">
        <v>0.95</v>
      </c>
      <c r="V248" s="46" t="s">
        <v>44</v>
      </c>
      <c r="W248" s="46">
        <v>223348710</v>
      </c>
      <c r="X248" s="46" t="s">
        <v>441</v>
      </c>
      <c r="Y248" s="46" t="s">
        <v>64</v>
      </c>
      <c r="Z248" s="46" t="s">
        <v>442</v>
      </c>
      <c r="AA248" s="12" t="s">
        <v>443</v>
      </c>
      <c r="AB248" s="46">
        <v>0</v>
      </c>
      <c r="AD248" s="46" t="s">
        <v>67</v>
      </c>
      <c r="AE248" s="46">
        <v>22</v>
      </c>
    </row>
    <row r="249" spans="1:31" x14ac:dyDescent="0.25">
      <c r="A249" s="46" t="s">
        <v>57</v>
      </c>
      <c r="B249" s="46" t="s">
        <v>58</v>
      </c>
      <c r="C249" s="12" t="s">
        <v>416</v>
      </c>
      <c r="D249" s="46">
        <v>29695997</v>
      </c>
      <c r="E249" s="47">
        <v>45213</v>
      </c>
      <c r="F249" s="47">
        <v>45213</v>
      </c>
      <c r="G249" s="46">
        <v>1</v>
      </c>
      <c r="H249" s="47">
        <v>45230</v>
      </c>
      <c r="I249" s="47">
        <v>45238</v>
      </c>
      <c r="J249" s="46">
        <v>8</v>
      </c>
      <c r="K249" s="47">
        <v>45139</v>
      </c>
      <c r="L249" s="47">
        <v>45291</v>
      </c>
      <c r="M249" s="46">
        <v>78226</v>
      </c>
      <c r="N249" s="12" t="s">
        <v>444</v>
      </c>
      <c r="O249" s="46" t="s">
        <v>61</v>
      </c>
      <c r="P249" s="46" t="s">
        <v>62</v>
      </c>
      <c r="Q249" s="46">
        <v>526</v>
      </c>
      <c r="R249" s="46">
        <v>0</v>
      </c>
      <c r="S249" s="46">
        <v>498.47</v>
      </c>
      <c r="T249" s="46">
        <v>27.53</v>
      </c>
      <c r="U249" s="48">
        <v>0.9476</v>
      </c>
      <c r="V249" s="46" t="s">
        <v>44</v>
      </c>
      <c r="W249" s="46">
        <v>223349041</v>
      </c>
      <c r="X249" s="46" t="s">
        <v>445</v>
      </c>
      <c r="Y249" s="46" t="s">
        <v>64</v>
      </c>
      <c r="Z249" s="46" t="s">
        <v>86</v>
      </c>
      <c r="AA249" s="12" t="s">
        <v>87</v>
      </c>
      <c r="AB249" s="46">
        <v>0</v>
      </c>
      <c r="AD249" s="46" t="s">
        <v>67</v>
      </c>
      <c r="AE249" s="46">
        <v>21</v>
      </c>
    </row>
    <row r="250" spans="1:31" x14ac:dyDescent="0.25">
      <c r="A250" s="46" t="s">
        <v>57</v>
      </c>
      <c r="B250" s="46" t="s">
        <v>58</v>
      </c>
      <c r="C250" s="12" t="s">
        <v>416</v>
      </c>
      <c r="D250" s="46">
        <v>29695997</v>
      </c>
      <c r="E250" s="47">
        <v>45215</v>
      </c>
      <c r="F250" s="47">
        <v>45215</v>
      </c>
      <c r="G250" s="46">
        <v>1</v>
      </c>
      <c r="H250" s="47">
        <v>45230</v>
      </c>
      <c r="I250" s="47">
        <v>45238</v>
      </c>
      <c r="J250" s="46">
        <v>8</v>
      </c>
      <c r="K250" s="47">
        <v>45139</v>
      </c>
      <c r="L250" s="47">
        <v>45291</v>
      </c>
      <c r="M250" s="46">
        <v>71045</v>
      </c>
      <c r="N250" s="12" t="s">
        <v>111</v>
      </c>
      <c r="O250" s="46" t="s">
        <v>61</v>
      </c>
      <c r="P250" s="46" t="s">
        <v>62</v>
      </c>
      <c r="Q250" s="46">
        <v>139</v>
      </c>
      <c r="R250" s="46">
        <v>0</v>
      </c>
      <c r="S250" s="46">
        <v>132.05000000000001</v>
      </c>
      <c r="T250" s="46">
        <v>6.95</v>
      </c>
      <c r="U250" s="48">
        <v>0.95</v>
      </c>
      <c r="V250" s="46" t="s">
        <v>44</v>
      </c>
      <c r="W250" s="46">
        <v>223349044</v>
      </c>
      <c r="X250" s="46" t="s">
        <v>446</v>
      </c>
      <c r="Y250" s="46" t="s">
        <v>64</v>
      </c>
      <c r="Z250" s="46" t="s">
        <v>447</v>
      </c>
      <c r="AA250" s="12" t="s">
        <v>448</v>
      </c>
      <c r="AB250" s="46">
        <v>0</v>
      </c>
      <c r="AD250" s="46" t="s">
        <v>67</v>
      </c>
      <c r="AE250" s="46">
        <v>21</v>
      </c>
    </row>
    <row r="251" spans="1:31" x14ac:dyDescent="0.25">
      <c r="A251" s="46" t="s">
        <v>57</v>
      </c>
      <c r="B251" s="46" t="s">
        <v>58</v>
      </c>
      <c r="C251" s="12" t="s">
        <v>416</v>
      </c>
      <c r="D251" s="46">
        <v>29695997</v>
      </c>
      <c r="E251" s="47">
        <v>45215</v>
      </c>
      <c r="F251" s="47">
        <v>45215</v>
      </c>
      <c r="G251" s="46">
        <v>1</v>
      </c>
      <c r="H251" s="47">
        <v>45230</v>
      </c>
      <c r="I251" s="47">
        <v>45238</v>
      </c>
      <c r="J251" s="46">
        <v>8</v>
      </c>
      <c r="K251" s="47">
        <v>45139</v>
      </c>
      <c r="L251" s="47">
        <v>45291</v>
      </c>
      <c r="M251" s="46">
        <v>71045</v>
      </c>
      <c r="N251" s="12" t="s">
        <v>111</v>
      </c>
      <c r="O251" s="46" t="s">
        <v>61</v>
      </c>
      <c r="P251" s="46" t="s">
        <v>62</v>
      </c>
      <c r="Q251" s="46">
        <v>139</v>
      </c>
      <c r="R251" s="46">
        <v>0</v>
      </c>
      <c r="S251" s="46">
        <v>132.05000000000001</v>
      </c>
      <c r="T251" s="46">
        <v>6.95</v>
      </c>
      <c r="U251" s="48">
        <v>0.95</v>
      </c>
      <c r="V251" s="46" t="s">
        <v>44</v>
      </c>
      <c r="W251" s="46">
        <v>223349046</v>
      </c>
      <c r="X251" s="46" t="s">
        <v>449</v>
      </c>
      <c r="Y251" s="46" t="s">
        <v>64</v>
      </c>
      <c r="Z251" s="46" t="s">
        <v>450</v>
      </c>
      <c r="AA251" s="12" t="s">
        <v>451</v>
      </c>
      <c r="AB251" s="46">
        <v>0</v>
      </c>
      <c r="AD251" s="46" t="s">
        <v>67</v>
      </c>
      <c r="AE251" s="46">
        <v>21</v>
      </c>
    </row>
    <row r="252" spans="1:31" x14ac:dyDescent="0.25">
      <c r="A252" s="46" t="s">
        <v>57</v>
      </c>
      <c r="B252" s="46" t="s">
        <v>58</v>
      </c>
      <c r="C252" s="12" t="s">
        <v>416</v>
      </c>
      <c r="D252" s="46">
        <v>29695997</v>
      </c>
      <c r="E252" s="47">
        <v>45210</v>
      </c>
      <c r="F252" s="47">
        <v>45210</v>
      </c>
      <c r="G252" s="46">
        <v>1</v>
      </c>
      <c r="H252" s="47">
        <v>45230</v>
      </c>
      <c r="I252" s="47">
        <v>45245</v>
      </c>
      <c r="J252" s="46">
        <v>15</v>
      </c>
      <c r="K252" s="47">
        <v>45139</v>
      </c>
      <c r="L252" s="47">
        <v>45291</v>
      </c>
      <c r="M252" s="46">
        <v>74176</v>
      </c>
      <c r="N252" s="12" t="s">
        <v>432</v>
      </c>
      <c r="O252" s="46" t="s">
        <v>61</v>
      </c>
      <c r="P252" s="46" t="s">
        <v>62</v>
      </c>
      <c r="Q252" s="49">
        <v>1278</v>
      </c>
      <c r="R252" s="46">
        <v>0</v>
      </c>
      <c r="S252" s="49">
        <v>1211.98</v>
      </c>
      <c r="T252" s="46">
        <v>66.02</v>
      </c>
      <c r="U252" s="48">
        <v>0.94830000000000003</v>
      </c>
      <c r="V252" s="46" t="s">
        <v>44</v>
      </c>
      <c r="W252" s="46">
        <v>223349048</v>
      </c>
      <c r="X252" s="46" t="s">
        <v>452</v>
      </c>
      <c r="Y252" s="46" t="s">
        <v>64</v>
      </c>
      <c r="Z252" s="46" t="s">
        <v>453</v>
      </c>
      <c r="AA252" s="12" t="s">
        <v>454</v>
      </c>
      <c r="AB252" s="46">
        <v>0</v>
      </c>
      <c r="AD252" s="46" t="s">
        <v>67</v>
      </c>
      <c r="AE252" s="46">
        <v>21</v>
      </c>
    </row>
    <row r="253" spans="1:31" x14ac:dyDescent="0.25">
      <c r="A253" s="46" t="s">
        <v>57</v>
      </c>
      <c r="B253" s="46" t="s">
        <v>58</v>
      </c>
      <c r="C253" s="12" t="s">
        <v>416</v>
      </c>
      <c r="D253" s="46">
        <v>29695997</v>
      </c>
      <c r="E253" s="47">
        <v>45211</v>
      </c>
      <c r="F253" s="47">
        <v>45211</v>
      </c>
      <c r="G253" s="46">
        <v>1</v>
      </c>
      <c r="H253" s="47">
        <v>45230</v>
      </c>
      <c r="I253" s="47">
        <v>45245</v>
      </c>
      <c r="J253" s="46">
        <v>15</v>
      </c>
      <c r="K253" s="47">
        <v>45139</v>
      </c>
      <c r="L253" s="47">
        <v>45291</v>
      </c>
      <c r="M253" s="46">
        <v>74177</v>
      </c>
      <c r="N253" s="12" t="s">
        <v>455</v>
      </c>
      <c r="O253" s="46" t="s">
        <v>61</v>
      </c>
      <c r="P253" s="46" t="s">
        <v>62</v>
      </c>
      <c r="Q253" s="49">
        <v>1337</v>
      </c>
      <c r="R253" s="46">
        <v>0</v>
      </c>
      <c r="S253" s="49">
        <v>1268.04</v>
      </c>
      <c r="T253" s="46">
        <v>68.959999999999994</v>
      </c>
      <c r="U253" s="48">
        <v>0.94840000000000002</v>
      </c>
      <c r="V253" s="46" t="s">
        <v>44</v>
      </c>
      <c r="W253" s="46">
        <v>223349048</v>
      </c>
      <c r="X253" s="46" t="s">
        <v>452</v>
      </c>
      <c r="Y253" s="46" t="s">
        <v>64</v>
      </c>
      <c r="Z253" s="46" t="s">
        <v>453</v>
      </c>
      <c r="AA253" s="12" t="s">
        <v>454</v>
      </c>
      <c r="AB253" s="46">
        <v>0</v>
      </c>
      <c r="AD253" s="46" t="s">
        <v>67</v>
      </c>
      <c r="AE253" s="46">
        <v>21</v>
      </c>
    </row>
    <row r="254" spans="1:31" x14ac:dyDescent="0.25">
      <c r="A254" s="46" t="s">
        <v>57</v>
      </c>
      <c r="B254" s="46" t="s">
        <v>58</v>
      </c>
      <c r="C254" s="12" t="s">
        <v>416</v>
      </c>
      <c r="D254" s="46">
        <v>29695997</v>
      </c>
      <c r="E254" s="47">
        <v>45211</v>
      </c>
      <c r="F254" s="47">
        <v>45211</v>
      </c>
      <c r="G254" s="46">
        <v>1</v>
      </c>
      <c r="H254" s="47">
        <v>45230</v>
      </c>
      <c r="I254" s="47">
        <v>45238</v>
      </c>
      <c r="J254" s="46">
        <v>8</v>
      </c>
      <c r="K254" s="47">
        <v>45139</v>
      </c>
      <c r="L254" s="47">
        <v>45291</v>
      </c>
      <c r="M254" s="46">
        <v>70450</v>
      </c>
      <c r="N254" s="12" t="s">
        <v>119</v>
      </c>
      <c r="O254" s="46" t="s">
        <v>61</v>
      </c>
      <c r="P254" s="46" t="s">
        <v>62</v>
      </c>
      <c r="Q254" s="46">
        <v>504</v>
      </c>
      <c r="R254" s="46">
        <v>0</v>
      </c>
      <c r="S254" s="46">
        <v>471.92</v>
      </c>
      <c r="T254" s="46">
        <v>32.08</v>
      </c>
      <c r="U254" s="48">
        <v>0.93630000000000002</v>
      </c>
      <c r="V254" s="46" t="s">
        <v>44</v>
      </c>
      <c r="W254" s="46">
        <v>223349049</v>
      </c>
      <c r="X254" s="46" t="s">
        <v>456</v>
      </c>
      <c r="Y254" s="46" t="s">
        <v>64</v>
      </c>
      <c r="Z254" s="46" t="s">
        <v>86</v>
      </c>
      <c r="AA254" s="12" t="s">
        <v>87</v>
      </c>
      <c r="AB254" s="46">
        <v>0</v>
      </c>
      <c r="AD254" s="46" t="s">
        <v>67</v>
      </c>
      <c r="AE254" s="46">
        <v>21</v>
      </c>
    </row>
    <row r="255" spans="1:31" x14ac:dyDescent="0.25">
      <c r="A255" s="46" t="s">
        <v>57</v>
      </c>
      <c r="B255" s="46" t="s">
        <v>58</v>
      </c>
      <c r="C255" s="12" t="s">
        <v>416</v>
      </c>
      <c r="D255" s="46">
        <v>29695997</v>
      </c>
      <c r="E255" s="47">
        <v>45213</v>
      </c>
      <c r="F255" s="47">
        <v>45213</v>
      </c>
      <c r="G255" s="46">
        <v>1</v>
      </c>
      <c r="H255" s="47">
        <v>45230</v>
      </c>
      <c r="I255" s="47">
        <v>45238</v>
      </c>
      <c r="J255" s="46">
        <v>8</v>
      </c>
      <c r="K255" s="47">
        <v>45139</v>
      </c>
      <c r="L255" s="47">
        <v>45291</v>
      </c>
      <c r="M255" s="46">
        <v>71045</v>
      </c>
      <c r="N255" s="12" t="s">
        <v>111</v>
      </c>
      <c r="O255" s="46" t="s">
        <v>61</v>
      </c>
      <c r="P255" s="46" t="s">
        <v>62</v>
      </c>
      <c r="Q255" s="46">
        <v>139</v>
      </c>
      <c r="R255" s="46">
        <v>0</v>
      </c>
      <c r="S255" s="46">
        <v>132.05000000000001</v>
      </c>
      <c r="T255" s="46">
        <v>6.95</v>
      </c>
      <c r="U255" s="48">
        <v>0.95</v>
      </c>
      <c r="V255" s="46" t="s">
        <v>44</v>
      </c>
      <c r="W255" s="46">
        <v>223349051</v>
      </c>
      <c r="X255" s="46" t="s">
        <v>457</v>
      </c>
      <c r="Y255" s="46" t="s">
        <v>64</v>
      </c>
      <c r="Z255" s="46" t="s">
        <v>86</v>
      </c>
      <c r="AA255" s="12" t="s">
        <v>87</v>
      </c>
      <c r="AB255" s="46">
        <v>0</v>
      </c>
      <c r="AD255" s="46" t="s">
        <v>67</v>
      </c>
      <c r="AE255" s="46">
        <v>21</v>
      </c>
    </row>
    <row r="256" spans="1:31" x14ac:dyDescent="0.25">
      <c r="A256" s="46" t="s">
        <v>57</v>
      </c>
      <c r="B256" s="46" t="s">
        <v>58</v>
      </c>
      <c r="C256" s="12" t="s">
        <v>416</v>
      </c>
      <c r="D256" s="46">
        <v>29695997</v>
      </c>
      <c r="E256" s="47">
        <v>45214</v>
      </c>
      <c r="F256" s="47">
        <v>45214</v>
      </c>
      <c r="G256" s="46">
        <v>1</v>
      </c>
      <c r="H256" s="47">
        <v>45231</v>
      </c>
      <c r="I256" s="47">
        <v>45245</v>
      </c>
      <c r="J256" s="46">
        <v>14</v>
      </c>
      <c r="K256" s="47">
        <v>45139</v>
      </c>
      <c r="L256" s="47">
        <v>45291</v>
      </c>
      <c r="M256" s="46">
        <v>71045</v>
      </c>
      <c r="N256" s="12" t="s">
        <v>111</v>
      </c>
      <c r="O256" s="46" t="s">
        <v>61</v>
      </c>
      <c r="P256" s="46" t="s">
        <v>62</v>
      </c>
      <c r="Q256" s="46">
        <v>139</v>
      </c>
      <c r="R256" s="46">
        <v>0</v>
      </c>
      <c r="S256" s="46">
        <v>132.05000000000001</v>
      </c>
      <c r="T256" s="46">
        <v>6.95</v>
      </c>
      <c r="U256" s="48">
        <v>0.95</v>
      </c>
      <c r="V256" s="46" t="s">
        <v>44</v>
      </c>
      <c r="W256" s="46">
        <v>223351147</v>
      </c>
      <c r="X256" s="46" t="s">
        <v>458</v>
      </c>
      <c r="Y256" s="46" t="s">
        <v>64</v>
      </c>
      <c r="Z256" s="46" t="s">
        <v>450</v>
      </c>
      <c r="AA256" s="12" t="s">
        <v>451</v>
      </c>
      <c r="AB256" s="46">
        <v>0</v>
      </c>
      <c r="AD256" s="46" t="s">
        <v>67</v>
      </c>
      <c r="AE256" s="46">
        <v>21</v>
      </c>
    </row>
    <row r="257" spans="1:31" x14ac:dyDescent="0.25">
      <c r="A257" s="46" t="s">
        <v>57</v>
      </c>
      <c r="B257" s="46" t="s">
        <v>58</v>
      </c>
      <c r="C257" s="12" t="s">
        <v>416</v>
      </c>
      <c r="D257" s="46">
        <v>29695997</v>
      </c>
      <c r="E257" s="47">
        <v>45214</v>
      </c>
      <c r="F257" s="47">
        <v>45214</v>
      </c>
      <c r="G257" s="46">
        <v>1</v>
      </c>
      <c r="H257" s="47">
        <v>45231</v>
      </c>
      <c r="I257" s="47">
        <v>45245</v>
      </c>
      <c r="J257" s="46">
        <v>14</v>
      </c>
      <c r="K257" s="47">
        <v>45139</v>
      </c>
      <c r="L257" s="47">
        <v>45291</v>
      </c>
      <c r="M257" s="46">
        <v>78227</v>
      </c>
      <c r="N257" s="12" t="s">
        <v>459</v>
      </c>
      <c r="O257" s="46" t="s">
        <v>61</v>
      </c>
      <c r="P257" s="46" t="s">
        <v>62</v>
      </c>
      <c r="Q257" s="46">
        <v>622</v>
      </c>
      <c r="R257" s="46">
        <v>0</v>
      </c>
      <c r="S257" s="46">
        <v>588.59</v>
      </c>
      <c r="T257" s="46">
        <v>33.409999999999997</v>
      </c>
      <c r="U257" s="48">
        <v>0.94620000000000004</v>
      </c>
      <c r="V257" s="46" t="s">
        <v>44</v>
      </c>
      <c r="W257" s="46">
        <v>223351149</v>
      </c>
      <c r="X257" s="46" t="s">
        <v>460</v>
      </c>
      <c r="Y257" s="46" t="s">
        <v>64</v>
      </c>
      <c r="Z257" s="46" t="s">
        <v>86</v>
      </c>
      <c r="AA257" s="12" t="s">
        <v>87</v>
      </c>
      <c r="AB257" s="46">
        <v>0</v>
      </c>
      <c r="AD257" s="46" t="s">
        <v>67</v>
      </c>
      <c r="AE257" s="46">
        <v>21</v>
      </c>
    </row>
    <row r="258" spans="1:31" x14ac:dyDescent="0.25">
      <c r="A258" s="46" t="s">
        <v>57</v>
      </c>
      <c r="B258" s="46" t="s">
        <v>58</v>
      </c>
      <c r="C258" s="12" t="s">
        <v>416</v>
      </c>
      <c r="D258" s="46">
        <v>29640788</v>
      </c>
      <c r="E258" s="47">
        <v>45158</v>
      </c>
      <c r="F258" s="47">
        <v>45158</v>
      </c>
      <c r="G258" s="46">
        <v>1</v>
      </c>
      <c r="H258" s="47">
        <v>45182</v>
      </c>
      <c r="I258" s="47">
        <v>45224</v>
      </c>
      <c r="J258" s="46">
        <v>42</v>
      </c>
      <c r="K258" s="47">
        <v>45139</v>
      </c>
      <c r="L258" s="47">
        <v>45291</v>
      </c>
      <c r="M258" s="46">
        <v>72125</v>
      </c>
      <c r="N258" s="12" t="s">
        <v>461</v>
      </c>
      <c r="O258" s="46" t="s">
        <v>61</v>
      </c>
      <c r="P258" s="46" t="s">
        <v>62</v>
      </c>
      <c r="Q258" s="46">
        <v>625</v>
      </c>
      <c r="R258" s="46">
        <v>0</v>
      </c>
      <c r="S258" s="46">
        <v>585.42999999999995</v>
      </c>
      <c r="T258" s="46">
        <v>39.57</v>
      </c>
      <c r="U258" s="48">
        <v>0.93659999999999999</v>
      </c>
      <c r="V258" s="46" t="s">
        <v>44</v>
      </c>
      <c r="W258" s="46">
        <v>223282735</v>
      </c>
      <c r="X258" s="46" t="s">
        <v>462</v>
      </c>
      <c r="Y258" s="46" t="s">
        <v>64</v>
      </c>
      <c r="Z258" s="46" t="s">
        <v>463</v>
      </c>
      <c r="AA258" s="12" t="s">
        <v>464</v>
      </c>
      <c r="AB258" s="46">
        <v>0</v>
      </c>
      <c r="AD258" s="46" t="s">
        <v>67</v>
      </c>
      <c r="AE258" s="46">
        <v>22</v>
      </c>
    </row>
    <row r="259" spans="1:31" x14ac:dyDescent="0.25">
      <c r="A259" s="46" t="s">
        <v>57</v>
      </c>
      <c r="B259" s="46" t="s">
        <v>58</v>
      </c>
      <c r="C259" s="12" t="s">
        <v>416</v>
      </c>
      <c r="D259" s="46">
        <v>29640788</v>
      </c>
      <c r="E259" s="47">
        <v>45158</v>
      </c>
      <c r="F259" s="47">
        <v>45158</v>
      </c>
      <c r="G259" s="46">
        <v>1</v>
      </c>
      <c r="H259" s="47">
        <v>45182</v>
      </c>
      <c r="I259" s="47">
        <v>45224</v>
      </c>
      <c r="J259" s="46">
        <v>42</v>
      </c>
      <c r="K259" s="47">
        <v>45139</v>
      </c>
      <c r="L259" s="47">
        <v>45291</v>
      </c>
      <c r="M259" s="46">
        <v>70450</v>
      </c>
      <c r="N259" s="12" t="s">
        <v>119</v>
      </c>
      <c r="O259" s="46" t="s">
        <v>61</v>
      </c>
      <c r="P259" s="46" t="s">
        <v>62</v>
      </c>
      <c r="Q259" s="46">
        <v>504</v>
      </c>
      <c r="R259" s="46">
        <v>0</v>
      </c>
      <c r="S259" s="46">
        <v>470.32</v>
      </c>
      <c r="T259" s="46">
        <v>33.68</v>
      </c>
      <c r="U259" s="48">
        <v>0.93310000000000004</v>
      </c>
      <c r="V259" s="46" t="s">
        <v>44</v>
      </c>
      <c r="W259" s="46">
        <v>223282735</v>
      </c>
      <c r="X259" s="46" t="s">
        <v>462</v>
      </c>
      <c r="Y259" s="46" t="s">
        <v>64</v>
      </c>
      <c r="Z259" s="46" t="s">
        <v>463</v>
      </c>
      <c r="AA259" s="12" t="s">
        <v>464</v>
      </c>
      <c r="AB259" s="46">
        <v>0</v>
      </c>
      <c r="AD259" s="46" t="s">
        <v>67</v>
      </c>
      <c r="AE259" s="46">
        <v>22</v>
      </c>
    </row>
    <row r="260" spans="1:31" x14ac:dyDescent="0.25">
      <c r="A260" s="46" t="s">
        <v>57</v>
      </c>
      <c r="B260" s="46" t="s">
        <v>58</v>
      </c>
      <c r="C260" s="12" t="s">
        <v>416</v>
      </c>
      <c r="D260" s="46">
        <v>29640788</v>
      </c>
      <c r="E260" s="47">
        <v>45158</v>
      </c>
      <c r="F260" s="47">
        <v>45158</v>
      </c>
      <c r="G260" s="46">
        <v>1</v>
      </c>
      <c r="H260" s="47">
        <v>45182</v>
      </c>
      <c r="I260" s="47">
        <v>45224</v>
      </c>
      <c r="J260" s="46">
        <v>42</v>
      </c>
      <c r="K260" s="47">
        <v>45139</v>
      </c>
      <c r="L260" s="47">
        <v>45291</v>
      </c>
      <c r="M260" s="46">
        <v>71045</v>
      </c>
      <c r="N260" s="12" t="s">
        <v>111</v>
      </c>
      <c r="O260" s="46" t="s">
        <v>61</v>
      </c>
      <c r="P260" s="46" t="s">
        <v>62</v>
      </c>
      <c r="Q260" s="46">
        <v>139</v>
      </c>
      <c r="R260" s="46">
        <v>0</v>
      </c>
      <c r="S260" s="46">
        <v>131.69999999999999</v>
      </c>
      <c r="T260" s="46">
        <v>7.3</v>
      </c>
      <c r="U260" s="48">
        <v>0.94740000000000002</v>
      </c>
      <c r="V260" s="46" t="s">
        <v>44</v>
      </c>
      <c r="W260" s="46">
        <v>223282738</v>
      </c>
      <c r="X260" s="46" t="s">
        <v>465</v>
      </c>
      <c r="Y260" s="46" t="s">
        <v>64</v>
      </c>
      <c r="Z260" s="46" t="s">
        <v>463</v>
      </c>
      <c r="AA260" s="12" t="s">
        <v>464</v>
      </c>
      <c r="AB260" s="46">
        <v>0</v>
      </c>
      <c r="AD260" s="46" t="s">
        <v>67</v>
      </c>
      <c r="AE260" s="46">
        <v>23</v>
      </c>
    </row>
    <row r="261" spans="1:31" x14ac:dyDescent="0.25">
      <c r="A261" s="46" t="s">
        <v>57</v>
      </c>
      <c r="B261" s="46" t="s">
        <v>58</v>
      </c>
      <c r="C261" s="12" t="s">
        <v>416</v>
      </c>
      <c r="D261" s="46">
        <v>30073682</v>
      </c>
      <c r="E261" s="47">
        <v>45240</v>
      </c>
      <c r="F261" s="47">
        <v>45240</v>
      </c>
      <c r="G261" s="46">
        <v>1</v>
      </c>
      <c r="H261" s="47">
        <v>45258</v>
      </c>
      <c r="I261" s="47">
        <v>45266</v>
      </c>
      <c r="J261" s="46">
        <v>8</v>
      </c>
      <c r="K261" s="47">
        <v>45139</v>
      </c>
      <c r="L261" s="47">
        <v>45291</v>
      </c>
      <c r="M261" s="46">
        <v>70498</v>
      </c>
      <c r="N261" s="12" t="s">
        <v>466</v>
      </c>
      <c r="O261" s="46" t="s">
        <v>61</v>
      </c>
      <c r="P261" s="46" t="s">
        <v>62</v>
      </c>
      <c r="Q261" s="49">
        <v>1228</v>
      </c>
      <c r="R261" s="46">
        <v>0</v>
      </c>
      <c r="S261" s="49">
        <v>1161.71</v>
      </c>
      <c r="T261" s="46">
        <v>66.290000000000006</v>
      </c>
      <c r="U261" s="48">
        <v>0.94599999999999995</v>
      </c>
      <c r="V261" s="46" t="s">
        <v>44</v>
      </c>
      <c r="W261" s="46">
        <v>223391595</v>
      </c>
      <c r="X261" s="46" t="s">
        <v>467</v>
      </c>
      <c r="Y261" s="46" t="s">
        <v>64</v>
      </c>
      <c r="Z261" s="46" t="s">
        <v>468</v>
      </c>
      <c r="AA261" s="12" t="s">
        <v>469</v>
      </c>
      <c r="AB261" s="46">
        <v>0</v>
      </c>
      <c r="AD261" s="46" t="s">
        <v>67</v>
      </c>
      <c r="AE261" s="46">
        <v>22</v>
      </c>
    </row>
    <row r="262" spans="1:31" x14ac:dyDescent="0.25">
      <c r="A262" s="46" t="s">
        <v>57</v>
      </c>
      <c r="B262" s="46" t="s">
        <v>58</v>
      </c>
      <c r="C262" s="12" t="s">
        <v>416</v>
      </c>
      <c r="D262" s="46">
        <v>30073682</v>
      </c>
      <c r="E262" s="47">
        <v>45240</v>
      </c>
      <c r="F262" s="47">
        <v>45240</v>
      </c>
      <c r="G262" s="46">
        <v>1</v>
      </c>
      <c r="H262" s="47">
        <v>45258</v>
      </c>
      <c r="I262" s="47">
        <v>45266</v>
      </c>
      <c r="J262" s="46">
        <v>8</v>
      </c>
      <c r="K262" s="47">
        <v>45139</v>
      </c>
      <c r="L262" s="47">
        <v>45291</v>
      </c>
      <c r="M262" s="46">
        <v>73030</v>
      </c>
      <c r="N262" s="12" t="s">
        <v>470</v>
      </c>
      <c r="O262" s="46" t="s">
        <v>61</v>
      </c>
      <c r="P262" s="46" t="s">
        <v>62</v>
      </c>
      <c r="Q262" s="46">
        <v>133</v>
      </c>
      <c r="R262" s="46">
        <v>0</v>
      </c>
      <c r="S262" s="46">
        <v>125.78</v>
      </c>
      <c r="T262" s="46">
        <v>7.22</v>
      </c>
      <c r="U262" s="48">
        <v>0.94569999999999999</v>
      </c>
      <c r="V262" s="46" t="s">
        <v>44</v>
      </c>
      <c r="W262" s="46">
        <v>223391610</v>
      </c>
      <c r="X262" s="46" t="s">
        <v>471</v>
      </c>
      <c r="Y262" s="46" t="s">
        <v>64</v>
      </c>
      <c r="Z262" s="46" t="s">
        <v>472</v>
      </c>
      <c r="AA262" s="12" t="s">
        <v>473</v>
      </c>
      <c r="AB262" s="46">
        <v>0</v>
      </c>
      <c r="AD262" s="46" t="s">
        <v>67</v>
      </c>
      <c r="AE262" s="46">
        <v>23</v>
      </c>
    </row>
    <row r="263" spans="1:31" x14ac:dyDescent="0.25">
      <c r="A263" s="46" t="s">
        <v>57</v>
      </c>
      <c r="B263" s="46" t="s">
        <v>58</v>
      </c>
      <c r="C263" s="12" t="s">
        <v>416</v>
      </c>
      <c r="D263" s="46">
        <v>30073682</v>
      </c>
      <c r="E263" s="47">
        <v>45240</v>
      </c>
      <c r="F263" s="47">
        <v>45240</v>
      </c>
      <c r="G263" s="46">
        <v>1</v>
      </c>
      <c r="H263" s="47">
        <v>45258</v>
      </c>
      <c r="I263" s="47">
        <v>45266</v>
      </c>
      <c r="J263" s="46">
        <v>8</v>
      </c>
      <c r="K263" s="47">
        <v>45139</v>
      </c>
      <c r="L263" s="47">
        <v>45291</v>
      </c>
      <c r="M263" s="46">
        <v>70450</v>
      </c>
      <c r="N263" s="12" t="s">
        <v>119</v>
      </c>
      <c r="O263" s="46" t="s">
        <v>61</v>
      </c>
      <c r="P263" s="46" t="s">
        <v>62</v>
      </c>
      <c r="Q263" s="46">
        <v>504</v>
      </c>
      <c r="R263" s="46">
        <v>0</v>
      </c>
      <c r="S263" s="46">
        <v>471.92</v>
      </c>
      <c r="T263" s="46">
        <v>32.08</v>
      </c>
      <c r="U263" s="48">
        <v>0.93630000000000002</v>
      </c>
      <c r="V263" s="46" t="s">
        <v>44</v>
      </c>
      <c r="W263" s="46">
        <v>223391629</v>
      </c>
      <c r="X263" s="46" t="s">
        <v>474</v>
      </c>
      <c r="Y263" s="46" t="s">
        <v>64</v>
      </c>
      <c r="Z263" s="46" t="s">
        <v>475</v>
      </c>
      <c r="AA263" s="12" t="s">
        <v>476</v>
      </c>
      <c r="AB263" s="46">
        <v>0</v>
      </c>
      <c r="AD263" s="46" t="s">
        <v>67</v>
      </c>
      <c r="AE263" s="46">
        <v>22</v>
      </c>
    </row>
    <row r="264" spans="1:31" x14ac:dyDescent="0.25">
      <c r="A264" s="46" t="s">
        <v>57</v>
      </c>
      <c r="B264" s="46" t="s">
        <v>58</v>
      </c>
      <c r="C264" s="12" t="s">
        <v>416</v>
      </c>
      <c r="D264" s="46">
        <v>30073682</v>
      </c>
      <c r="E264" s="47">
        <v>45240</v>
      </c>
      <c r="F264" s="47">
        <v>45240</v>
      </c>
      <c r="G264" s="46">
        <v>1</v>
      </c>
      <c r="H264" s="47">
        <v>45258</v>
      </c>
      <c r="I264" s="47">
        <v>45266</v>
      </c>
      <c r="J264" s="46">
        <v>8</v>
      </c>
      <c r="K264" s="47">
        <v>45139</v>
      </c>
      <c r="L264" s="47">
        <v>45291</v>
      </c>
      <c r="M264" s="46">
        <v>73030</v>
      </c>
      <c r="N264" s="12" t="s">
        <v>470</v>
      </c>
      <c r="O264" s="46" t="s">
        <v>61</v>
      </c>
      <c r="P264" s="46" t="s">
        <v>62</v>
      </c>
      <c r="Q264" s="46">
        <v>133</v>
      </c>
      <c r="R264" s="46">
        <v>0</v>
      </c>
      <c r="S264" s="46">
        <v>125.78</v>
      </c>
      <c r="T264" s="46">
        <v>7.22</v>
      </c>
      <c r="U264" s="48">
        <v>0.94569999999999999</v>
      </c>
      <c r="V264" s="46" t="s">
        <v>44</v>
      </c>
      <c r="W264" s="46">
        <v>223391629</v>
      </c>
      <c r="X264" s="46" t="s">
        <v>474</v>
      </c>
      <c r="Y264" s="46" t="s">
        <v>64</v>
      </c>
      <c r="Z264" s="46" t="s">
        <v>475</v>
      </c>
      <c r="AA264" s="12" t="s">
        <v>476</v>
      </c>
      <c r="AB264" s="46">
        <v>0</v>
      </c>
      <c r="AD264" s="46" t="s">
        <v>67</v>
      </c>
      <c r="AE264" s="46">
        <v>22</v>
      </c>
    </row>
    <row r="265" spans="1:31" x14ac:dyDescent="0.25">
      <c r="A265" s="46" t="s">
        <v>57</v>
      </c>
      <c r="B265" s="46" t="s">
        <v>58</v>
      </c>
      <c r="C265" s="12" t="s">
        <v>416</v>
      </c>
      <c r="D265" s="46">
        <v>28987420</v>
      </c>
      <c r="E265" s="47">
        <v>45145</v>
      </c>
      <c r="F265" s="47">
        <v>45145</v>
      </c>
      <c r="G265" s="46">
        <v>1</v>
      </c>
      <c r="H265" s="47">
        <v>45182</v>
      </c>
      <c r="I265" s="47">
        <v>45203</v>
      </c>
      <c r="J265" s="46">
        <v>21</v>
      </c>
      <c r="K265" s="47">
        <v>45139</v>
      </c>
      <c r="L265" s="47">
        <v>45291</v>
      </c>
      <c r="M265" s="46">
        <v>71046</v>
      </c>
      <c r="N265" s="12" t="s">
        <v>477</v>
      </c>
      <c r="O265" s="46" t="s">
        <v>61</v>
      </c>
      <c r="P265" s="46" t="s">
        <v>62</v>
      </c>
      <c r="Q265" s="46">
        <v>162</v>
      </c>
      <c r="R265" s="46">
        <v>0</v>
      </c>
      <c r="S265" s="46">
        <v>153.71</v>
      </c>
      <c r="T265" s="46">
        <v>8.2899999999999991</v>
      </c>
      <c r="U265" s="48">
        <v>0.94879999999999998</v>
      </c>
      <c r="V265" s="46" t="s">
        <v>44</v>
      </c>
      <c r="W265" s="46">
        <v>223282702</v>
      </c>
      <c r="X265" s="46" t="s">
        <v>478</v>
      </c>
      <c r="Y265" s="46" t="s">
        <v>64</v>
      </c>
      <c r="Z265" s="46" t="s">
        <v>479</v>
      </c>
      <c r="AA265" s="12" t="s">
        <v>480</v>
      </c>
      <c r="AB265" s="46">
        <v>0</v>
      </c>
      <c r="AD265" s="46" t="s">
        <v>67</v>
      </c>
      <c r="AE265" s="46">
        <v>23</v>
      </c>
    </row>
    <row r="266" spans="1:31" x14ac:dyDescent="0.25">
      <c r="A266" s="46" t="s">
        <v>57</v>
      </c>
      <c r="B266" s="46" t="s">
        <v>58</v>
      </c>
      <c r="C266" s="12" t="s">
        <v>416</v>
      </c>
      <c r="D266" s="46">
        <v>28987420</v>
      </c>
      <c r="E266" s="47">
        <v>45145</v>
      </c>
      <c r="F266" s="47">
        <v>45145</v>
      </c>
      <c r="G266" s="46">
        <v>1</v>
      </c>
      <c r="H266" s="47">
        <v>45182</v>
      </c>
      <c r="I266" s="47">
        <v>45203</v>
      </c>
      <c r="J266" s="46">
        <v>21</v>
      </c>
      <c r="K266" s="47">
        <v>45139</v>
      </c>
      <c r="L266" s="47">
        <v>45291</v>
      </c>
      <c r="M266" s="46">
        <v>71260</v>
      </c>
      <c r="N266" s="12" t="s">
        <v>481</v>
      </c>
      <c r="O266" s="46" t="s">
        <v>61</v>
      </c>
      <c r="P266" s="46" t="s">
        <v>62</v>
      </c>
      <c r="Q266" s="46">
        <v>705</v>
      </c>
      <c r="R266" s="46">
        <v>0</v>
      </c>
      <c r="S266" s="46">
        <v>641.12</v>
      </c>
      <c r="T266" s="46">
        <v>63.88</v>
      </c>
      <c r="U266" s="48">
        <v>0.9093</v>
      </c>
      <c r="V266" s="46" t="s">
        <v>44</v>
      </c>
      <c r="W266" s="46">
        <v>223282747</v>
      </c>
      <c r="X266" s="46" t="s">
        <v>482</v>
      </c>
      <c r="Y266" s="46" t="s">
        <v>64</v>
      </c>
      <c r="Z266" s="46" t="s">
        <v>312</v>
      </c>
      <c r="AA266" s="12" t="s">
        <v>313</v>
      </c>
      <c r="AB266" s="46">
        <v>0</v>
      </c>
      <c r="AD266" s="46" t="s">
        <v>67</v>
      </c>
      <c r="AE266" s="46">
        <v>22</v>
      </c>
    </row>
    <row r="267" spans="1:31" x14ac:dyDescent="0.25">
      <c r="A267" s="46" t="s">
        <v>57</v>
      </c>
      <c r="B267" s="46" t="s">
        <v>58</v>
      </c>
      <c r="C267" s="12" t="s">
        <v>416</v>
      </c>
      <c r="D267" s="46">
        <v>28963579</v>
      </c>
      <c r="E267" s="47">
        <v>45145</v>
      </c>
      <c r="F267" s="47">
        <v>45145</v>
      </c>
      <c r="G267" s="46">
        <v>1</v>
      </c>
      <c r="H267" s="47">
        <v>45182</v>
      </c>
      <c r="I267" s="47">
        <v>45203</v>
      </c>
      <c r="J267" s="46">
        <v>21</v>
      </c>
      <c r="K267" s="47">
        <v>45139</v>
      </c>
      <c r="L267" s="47">
        <v>45291</v>
      </c>
      <c r="M267" s="46">
        <v>76830</v>
      </c>
      <c r="N267" s="12" t="s">
        <v>264</v>
      </c>
      <c r="O267" s="46" t="s">
        <v>215</v>
      </c>
      <c r="P267" s="46" t="s">
        <v>216</v>
      </c>
      <c r="Q267" s="46">
        <v>414</v>
      </c>
      <c r="R267" s="46">
        <v>0</v>
      </c>
      <c r="S267" s="46">
        <v>387.8</v>
      </c>
      <c r="T267" s="46">
        <v>26.2</v>
      </c>
      <c r="U267" s="48">
        <v>0.93669999999999998</v>
      </c>
      <c r="V267" s="46" t="s">
        <v>44</v>
      </c>
      <c r="W267" s="46">
        <v>223282656</v>
      </c>
      <c r="X267" s="46" t="s">
        <v>483</v>
      </c>
      <c r="Y267" s="46" t="s">
        <v>64</v>
      </c>
      <c r="Z267" s="46" t="s">
        <v>484</v>
      </c>
      <c r="AA267" s="12" t="s">
        <v>485</v>
      </c>
      <c r="AB267" s="46">
        <v>0</v>
      </c>
      <c r="AD267" s="46" t="s">
        <v>67</v>
      </c>
      <c r="AE267" s="46">
        <v>22</v>
      </c>
    </row>
    <row r="268" spans="1:31" x14ac:dyDescent="0.25">
      <c r="A268" s="46" t="s">
        <v>57</v>
      </c>
      <c r="B268" s="46" t="s">
        <v>58</v>
      </c>
      <c r="C268" s="12" t="s">
        <v>416</v>
      </c>
      <c r="D268" s="46">
        <v>29689757</v>
      </c>
      <c r="E268" s="47">
        <v>45209</v>
      </c>
      <c r="F268" s="47">
        <v>45209</v>
      </c>
      <c r="G268" s="46">
        <v>1</v>
      </c>
      <c r="H268" s="47">
        <v>45226</v>
      </c>
      <c r="I268" s="47">
        <v>45238</v>
      </c>
      <c r="J268" s="46">
        <v>12</v>
      </c>
      <c r="K268" s="47">
        <v>45139</v>
      </c>
      <c r="L268" s="47">
        <v>45291</v>
      </c>
      <c r="M268" s="46">
        <v>76870</v>
      </c>
      <c r="N268" s="12" t="s">
        <v>486</v>
      </c>
      <c r="O268" s="46" t="s">
        <v>61</v>
      </c>
      <c r="P268" s="46" t="s">
        <v>62</v>
      </c>
      <c r="Q268" s="46">
        <v>382</v>
      </c>
      <c r="R268" s="46">
        <v>0</v>
      </c>
      <c r="S268" s="46">
        <v>357.68</v>
      </c>
      <c r="T268" s="46">
        <v>24.32</v>
      </c>
      <c r="U268" s="48">
        <v>0.93630000000000002</v>
      </c>
      <c r="V268" s="46" t="s">
        <v>44</v>
      </c>
      <c r="W268" s="46">
        <v>223345049</v>
      </c>
      <c r="X268" s="46" t="s">
        <v>487</v>
      </c>
      <c r="Y268" s="46" t="s">
        <v>64</v>
      </c>
      <c r="Z268" s="46" t="s">
        <v>488</v>
      </c>
      <c r="AA268" s="12" t="s">
        <v>489</v>
      </c>
      <c r="AB268" s="46">
        <v>0</v>
      </c>
      <c r="AD268" s="46" t="s">
        <v>67</v>
      </c>
      <c r="AE268" s="46">
        <v>22</v>
      </c>
    </row>
    <row r="269" spans="1:31" x14ac:dyDescent="0.25">
      <c r="A269" s="46" t="s">
        <v>57</v>
      </c>
      <c r="B269" s="46" t="s">
        <v>58</v>
      </c>
      <c r="C269" s="12" t="s">
        <v>416</v>
      </c>
      <c r="D269" s="46">
        <v>29042551</v>
      </c>
      <c r="E269" s="47">
        <v>45152</v>
      </c>
      <c r="F269" s="47">
        <v>45152</v>
      </c>
      <c r="G269" s="46">
        <v>1</v>
      </c>
      <c r="H269" s="47">
        <v>45182</v>
      </c>
      <c r="I269" s="47">
        <v>45203</v>
      </c>
      <c r="J269" s="46">
        <v>21</v>
      </c>
      <c r="K269" s="47">
        <v>45139</v>
      </c>
      <c r="L269" s="47">
        <v>45291</v>
      </c>
      <c r="M269" s="46">
        <v>71045</v>
      </c>
      <c r="N269" s="12" t="s">
        <v>111</v>
      </c>
      <c r="O269" s="46" t="s">
        <v>61</v>
      </c>
      <c r="P269" s="46" t="s">
        <v>62</v>
      </c>
      <c r="Q269" s="46">
        <v>139</v>
      </c>
      <c r="R269" s="46">
        <v>0</v>
      </c>
      <c r="S269" s="46">
        <v>132.05000000000001</v>
      </c>
      <c r="T269" s="46">
        <v>6.95</v>
      </c>
      <c r="U269" s="48">
        <v>0.95</v>
      </c>
      <c r="V269" s="46" t="s">
        <v>44</v>
      </c>
      <c r="W269" s="46">
        <v>223282669</v>
      </c>
      <c r="X269" s="46" t="s">
        <v>490</v>
      </c>
      <c r="Y269" s="46" t="s">
        <v>64</v>
      </c>
      <c r="Z269" s="46" t="s">
        <v>491</v>
      </c>
      <c r="AA269" s="12" t="s">
        <v>492</v>
      </c>
      <c r="AB269" s="46">
        <v>0</v>
      </c>
      <c r="AD269" s="46" t="s">
        <v>67</v>
      </c>
      <c r="AE269" s="46">
        <v>22</v>
      </c>
    </row>
    <row r="270" spans="1:31" x14ac:dyDescent="0.25">
      <c r="A270" s="46" t="s">
        <v>57</v>
      </c>
      <c r="B270" s="46" t="s">
        <v>58</v>
      </c>
      <c r="C270" s="12" t="s">
        <v>416</v>
      </c>
      <c r="D270" s="46">
        <v>29042551</v>
      </c>
      <c r="E270" s="47">
        <v>45152</v>
      </c>
      <c r="F270" s="47">
        <v>45152</v>
      </c>
      <c r="G270" s="46">
        <v>1</v>
      </c>
      <c r="H270" s="47">
        <v>45182</v>
      </c>
      <c r="I270" s="47">
        <v>45203</v>
      </c>
      <c r="J270" s="46">
        <v>21</v>
      </c>
      <c r="K270" s="47">
        <v>45139</v>
      </c>
      <c r="L270" s="47">
        <v>45291</v>
      </c>
      <c r="M270" s="46">
        <v>71250</v>
      </c>
      <c r="N270" s="12" t="s">
        <v>493</v>
      </c>
      <c r="O270" s="46" t="s">
        <v>61</v>
      </c>
      <c r="P270" s="46" t="s">
        <v>62</v>
      </c>
      <c r="Q270" s="46">
        <v>633</v>
      </c>
      <c r="R270" s="46">
        <v>0</v>
      </c>
      <c r="S270" s="46">
        <v>573.09</v>
      </c>
      <c r="T270" s="46">
        <v>59.91</v>
      </c>
      <c r="U270" s="48">
        <v>0.90529999999999999</v>
      </c>
      <c r="V270" s="46" t="s">
        <v>44</v>
      </c>
      <c r="W270" s="46">
        <v>223282687</v>
      </c>
      <c r="X270" s="46" t="s">
        <v>494</v>
      </c>
      <c r="Y270" s="46" t="s">
        <v>64</v>
      </c>
      <c r="Z270" s="46" t="s">
        <v>495</v>
      </c>
      <c r="AA270" s="12" t="s">
        <v>496</v>
      </c>
      <c r="AB270" s="46">
        <v>0</v>
      </c>
      <c r="AD270" s="46" t="s">
        <v>67</v>
      </c>
      <c r="AE270" s="46">
        <v>23</v>
      </c>
    </row>
    <row r="271" spans="1:31" x14ac:dyDescent="0.25">
      <c r="A271" s="46" t="s">
        <v>57</v>
      </c>
      <c r="B271" s="46" t="s">
        <v>58</v>
      </c>
      <c r="C271" s="12" t="s">
        <v>416</v>
      </c>
      <c r="D271" s="46">
        <v>29042551</v>
      </c>
      <c r="E271" s="47">
        <v>45152</v>
      </c>
      <c r="F271" s="47">
        <v>45152</v>
      </c>
      <c r="G271" s="46">
        <v>1</v>
      </c>
      <c r="H271" s="47">
        <v>45182</v>
      </c>
      <c r="I271" s="47">
        <v>45203</v>
      </c>
      <c r="J271" s="46">
        <v>21</v>
      </c>
      <c r="K271" s="47">
        <v>45139</v>
      </c>
      <c r="L271" s="47">
        <v>45291</v>
      </c>
      <c r="M271" s="46">
        <v>70450</v>
      </c>
      <c r="N271" s="12" t="s">
        <v>119</v>
      </c>
      <c r="O271" s="46" t="s">
        <v>61</v>
      </c>
      <c r="P271" s="46" t="s">
        <v>62</v>
      </c>
      <c r="Q271" s="46">
        <v>504</v>
      </c>
      <c r="R271" s="46">
        <v>0</v>
      </c>
      <c r="S271" s="46">
        <v>471.92</v>
      </c>
      <c r="T271" s="46">
        <v>32.08</v>
      </c>
      <c r="U271" s="48">
        <v>0.93630000000000002</v>
      </c>
      <c r="V271" s="46" t="s">
        <v>44</v>
      </c>
      <c r="W271" s="46">
        <v>223282695</v>
      </c>
      <c r="X271" s="46" t="s">
        <v>497</v>
      </c>
      <c r="Y271" s="46" t="s">
        <v>64</v>
      </c>
      <c r="Z271" s="46" t="s">
        <v>346</v>
      </c>
      <c r="AA271" s="12" t="s">
        <v>347</v>
      </c>
      <c r="AB271" s="46">
        <v>0</v>
      </c>
      <c r="AD271" s="46" t="s">
        <v>67</v>
      </c>
      <c r="AE271" s="46">
        <v>22</v>
      </c>
    </row>
    <row r="272" spans="1:31" x14ac:dyDescent="0.25">
      <c r="A272" s="46" t="s">
        <v>57</v>
      </c>
      <c r="B272" s="46" t="s">
        <v>58</v>
      </c>
      <c r="C272" s="12" t="s">
        <v>416</v>
      </c>
      <c r="D272" s="46">
        <v>29042551</v>
      </c>
      <c r="E272" s="47">
        <v>45152</v>
      </c>
      <c r="F272" s="47">
        <v>45152</v>
      </c>
      <c r="G272" s="46">
        <v>1</v>
      </c>
      <c r="H272" s="47">
        <v>45182</v>
      </c>
      <c r="I272" s="47">
        <v>45203</v>
      </c>
      <c r="J272" s="46">
        <v>21</v>
      </c>
      <c r="K272" s="47">
        <v>45139</v>
      </c>
      <c r="L272" s="47">
        <v>45291</v>
      </c>
      <c r="M272" s="46">
        <v>36556</v>
      </c>
      <c r="N272" s="12" t="s">
        <v>401</v>
      </c>
      <c r="O272" s="46" t="s">
        <v>61</v>
      </c>
      <c r="P272" s="46" t="s">
        <v>62</v>
      </c>
      <c r="Q272" s="49">
        <v>1647</v>
      </c>
      <c r="R272" s="46">
        <v>0</v>
      </c>
      <c r="S272" s="49">
        <v>1580.98</v>
      </c>
      <c r="T272" s="46">
        <v>66.02</v>
      </c>
      <c r="U272" s="48">
        <v>0.95989999999999998</v>
      </c>
      <c r="V272" s="46" t="s">
        <v>44</v>
      </c>
      <c r="W272" s="46">
        <v>223282748</v>
      </c>
      <c r="X272" s="46" t="s">
        <v>498</v>
      </c>
      <c r="Y272" s="46" t="s">
        <v>64</v>
      </c>
      <c r="Z272" s="46" t="s">
        <v>499</v>
      </c>
      <c r="AA272" s="12" t="s">
        <v>500</v>
      </c>
      <c r="AB272" s="46">
        <v>0</v>
      </c>
      <c r="AD272" s="46" t="s">
        <v>67</v>
      </c>
      <c r="AE272" s="46">
        <v>22</v>
      </c>
    </row>
    <row r="273" spans="1:31" x14ac:dyDescent="0.25">
      <c r="A273" s="46" t="s">
        <v>57</v>
      </c>
      <c r="B273" s="46" t="s">
        <v>58</v>
      </c>
      <c r="C273" s="12" t="s">
        <v>416</v>
      </c>
      <c r="D273" s="46">
        <v>29042551</v>
      </c>
      <c r="E273" s="47">
        <v>45152</v>
      </c>
      <c r="F273" s="47">
        <v>45152</v>
      </c>
      <c r="G273" s="46">
        <v>1</v>
      </c>
      <c r="H273" s="47">
        <v>45182</v>
      </c>
      <c r="I273" s="47">
        <v>45203</v>
      </c>
      <c r="J273" s="46">
        <v>21</v>
      </c>
      <c r="K273" s="47">
        <v>45139</v>
      </c>
      <c r="L273" s="47">
        <v>45291</v>
      </c>
      <c r="M273" s="46">
        <v>76937</v>
      </c>
      <c r="N273" s="12" t="s">
        <v>403</v>
      </c>
      <c r="O273" s="46" t="s">
        <v>61</v>
      </c>
      <c r="P273" s="46" t="s">
        <v>62</v>
      </c>
      <c r="Q273" s="46">
        <v>211</v>
      </c>
      <c r="R273" s="46">
        <v>0</v>
      </c>
      <c r="S273" s="46">
        <v>200.31</v>
      </c>
      <c r="T273" s="46">
        <v>10.69</v>
      </c>
      <c r="U273" s="48">
        <v>0.94930000000000003</v>
      </c>
      <c r="V273" s="46" t="s">
        <v>44</v>
      </c>
      <c r="W273" s="46">
        <v>223282748</v>
      </c>
      <c r="X273" s="46" t="s">
        <v>498</v>
      </c>
      <c r="Y273" s="46" t="s">
        <v>64</v>
      </c>
      <c r="Z273" s="46" t="s">
        <v>499</v>
      </c>
      <c r="AA273" s="12" t="s">
        <v>500</v>
      </c>
      <c r="AB273" s="46">
        <v>0</v>
      </c>
      <c r="AD273" s="46" t="s">
        <v>67</v>
      </c>
      <c r="AE273" s="46">
        <v>22</v>
      </c>
    </row>
    <row r="274" spans="1:31" x14ac:dyDescent="0.25">
      <c r="A274" s="46" t="s">
        <v>57</v>
      </c>
      <c r="B274" s="46" t="s">
        <v>58</v>
      </c>
      <c r="C274" s="12" t="s">
        <v>416</v>
      </c>
      <c r="D274" s="46">
        <v>29450662</v>
      </c>
      <c r="E274" s="47">
        <v>45190</v>
      </c>
      <c r="F274" s="47">
        <v>45190</v>
      </c>
      <c r="G274" s="46">
        <v>1</v>
      </c>
      <c r="H274" s="47">
        <v>45224</v>
      </c>
      <c r="I274" s="47">
        <v>45238</v>
      </c>
      <c r="J274" s="46">
        <v>14</v>
      </c>
      <c r="K274" s="47">
        <v>45139</v>
      </c>
      <c r="L274" s="47">
        <v>45291</v>
      </c>
      <c r="M274" s="46">
        <v>71045</v>
      </c>
      <c r="N274" s="12" t="s">
        <v>111</v>
      </c>
      <c r="O274" s="46" t="s">
        <v>148</v>
      </c>
      <c r="P274" s="46" t="s">
        <v>149</v>
      </c>
      <c r="Q274" s="46">
        <v>139</v>
      </c>
      <c r="R274" s="46">
        <v>0</v>
      </c>
      <c r="S274" s="46">
        <v>132.05000000000001</v>
      </c>
      <c r="T274" s="46">
        <v>6.95</v>
      </c>
      <c r="U274" s="48">
        <v>0.95</v>
      </c>
      <c r="V274" s="46" t="s">
        <v>44</v>
      </c>
      <c r="W274" s="46">
        <v>223338995</v>
      </c>
      <c r="X274" s="46" t="s">
        <v>501</v>
      </c>
      <c r="Y274" s="46" t="s">
        <v>64</v>
      </c>
      <c r="Z274" s="46" t="s">
        <v>495</v>
      </c>
      <c r="AA274" s="12" t="s">
        <v>496</v>
      </c>
      <c r="AB274" s="46">
        <v>0</v>
      </c>
      <c r="AD274" s="46" t="s">
        <v>67</v>
      </c>
      <c r="AE274" s="46">
        <v>21</v>
      </c>
    </row>
    <row r="275" spans="1:31" x14ac:dyDescent="0.25">
      <c r="A275" s="46" t="s">
        <v>57</v>
      </c>
      <c r="B275" s="46" t="s">
        <v>58</v>
      </c>
      <c r="C275" s="12" t="s">
        <v>416</v>
      </c>
      <c r="D275" s="46">
        <v>29280112</v>
      </c>
      <c r="E275" s="47">
        <v>45172</v>
      </c>
      <c r="F275" s="47">
        <v>45172</v>
      </c>
      <c r="G275" s="46">
        <v>1</v>
      </c>
      <c r="H275" s="47">
        <v>45188</v>
      </c>
      <c r="I275" s="47">
        <v>45203</v>
      </c>
      <c r="J275" s="46">
        <v>15</v>
      </c>
      <c r="K275" s="47">
        <v>45139</v>
      </c>
      <c r="L275" s="47">
        <v>45291</v>
      </c>
      <c r="M275" s="46">
        <v>70450</v>
      </c>
      <c r="N275" s="12" t="s">
        <v>119</v>
      </c>
      <c r="O275" s="46" t="s">
        <v>61</v>
      </c>
      <c r="P275" s="46" t="s">
        <v>62</v>
      </c>
      <c r="Q275" s="46">
        <v>504</v>
      </c>
      <c r="R275" s="46">
        <v>0</v>
      </c>
      <c r="S275" s="46">
        <v>471.92</v>
      </c>
      <c r="T275" s="46">
        <v>32.08</v>
      </c>
      <c r="U275" s="48">
        <v>0.93630000000000002</v>
      </c>
      <c r="V275" s="46" t="s">
        <v>44</v>
      </c>
      <c r="W275" s="46">
        <v>223291035</v>
      </c>
      <c r="X275" s="46" t="s">
        <v>502</v>
      </c>
      <c r="Y275" s="46" t="s">
        <v>64</v>
      </c>
      <c r="Z275" s="46" t="s">
        <v>109</v>
      </c>
      <c r="AA275" s="12"/>
      <c r="AB275" s="46">
        <v>0</v>
      </c>
      <c r="AD275" s="46" t="s">
        <v>67</v>
      </c>
      <c r="AE275" s="46">
        <v>22</v>
      </c>
    </row>
    <row r="276" spans="1:31" x14ac:dyDescent="0.25">
      <c r="A276" s="46" t="s">
        <v>57</v>
      </c>
      <c r="B276" s="46" t="s">
        <v>58</v>
      </c>
      <c r="C276" s="12" t="s">
        <v>416</v>
      </c>
      <c r="D276" s="46">
        <v>29164049</v>
      </c>
      <c r="E276" s="47">
        <v>45161</v>
      </c>
      <c r="F276" s="47">
        <v>45161</v>
      </c>
      <c r="G276" s="46">
        <v>1</v>
      </c>
      <c r="H276" s="47">
        <v>45182</v>
      </c>
      <c r="I276" s="47">
        <v>45203</v>
      </c>
      <c r="J276" s="46">
        <v>21</v>
      </c>
      <c r="K276" s="47">
        <v>45139</v>
      </c>
      <c r="L276" s="47">
        <v>45291</v>
      </c>
      <c r="M276" s="46">
        <v>71045</v>
      </c>
      <c r="N276" s="12" t="s">
        <v>111</v>
      </c>
      <c r="O276" s="46" t="s">
        <v>61</v>
      </c>
      <c r="P276" s="46" t="s">
        <v>62</v>
      </c>
      <c r="Q276" s="46">
        <v>139</v>
      </c>
      <c r="R276" s="46">
        <v>0</v>
      </c>
      <c r="S276" s="46">
        <v>132.05000000000001</v>
      </c>
      <c r="T276" s="46">
        <v>6.95</v>
      </c>
      <c r="U276" s="48">
        <v>0.95</v>
      </c>
      <c r="V276" s="46" t="s">
        <v>44</v>
      </c>
      <c r="W276" s="46">
        <v>223282715</v>
      </c>
      <c r="X276" s="46" t="s">
        <v>503</v>
      </c>
      <c r="Y276" s="46" t="s">
        <v>64</v>
      </c>
      <c r="Z276" s="46" t="s">
        <v>312</v>
      </c>
      <c r="AA276" s="12" t="s">
        <v>313</v>
      </c>
      <c r="AB276" s="46">
        <v>0</v>
      </c>
      <c r="AD276" s="46" t="s">
        <v>67</v>
      </c>
      <c r="AE276" s="46">
        <v>23</v>
      </c>
    </row>
    <row r="277" spans="1:31" x14ac:dyDescent="0.25">
      <c r="A277" s="46" t="s">
        <v>57</v>
      </c>
      <c r="B277" s="46" t="s">
        <v>58</v>
      </c>
      <c r="C277" s="12" t="s">
        <v>416</v>
      </c>
      <c r="D277" s="46">
        <v>29241234</v>
      </c>
      <c r="E277" s="47">
        <v>45169</v>
      </c>
      <c r="F277" s="47">
        <v>45169</v>
      </c>
      <c r="G277" s="46">
        <v>1</v>
      </c>
      <c r="H277" s="47">
        <v>45183</v>
      </c>
      <c r="I277" s="47">
        <v>45203</v>
      </c>
      <c r="J277" s="46">
        <v>20</v>
      </c>
      <c r="K277" s="47">
        <v>45139</v>
      </c>
      <c r="L277" s="47">
        <v>45291</v>
      </c>
      <c r="M277" s="46">
        <v>70450</v>
      </c>
      <c r="N277" s="12" t="s">
        <v>119</v>
      </c>
      <c r="O277" s="46" t="s">
        <v>61</v>
      </c>
      <c r="P277" s="46" t="s">
        <v>62</v>
      </c>
      <c r="Q277" s="46">
        <v>504</v>
      </c>
      <c r="R277" s="46">
        <v>0</v>
      </c>
      <c r="S277" s="46">
        <v>471.92</v>
      </c>
      <c r="T277" s="46">
        <v>32.08</v>
      </c>
      <c r="U277" s="48">
        <v>0.93630000000000002</v>
      </c>
      <c r="V277" s="46" t="s">
        <v>44</v>
      </c>
      <c r="W277" s="46">
        <v>223285375</v>
      </c>
      <c r="X277" s="46" t="s">
        <v>504</v>
      </c>
      <c r="Y277" s="46" t="s">
        <v>64</v>
      </c>
      <c r="Z277" s="46" t="s">
        <v>505</v>
      </c>
      <c r="AA277" s="12" t="s">
        <v>506</v>
      </c>
      <c r="AB277" s="46">
        <v>0</v>
      </c>
      <c r="AD277" s="46" t="s">
        <v>67</v>
      </c>
      <c r="AE277" s="46">
        <v>22</v>
      </c>
    </row>
    <row r="278" spans="1:31" x14ac:dyDescent="0.25">
      <c r="A278" s="46" t="s">
        <v>57</v>
      </c>
      <c r="B278" s="46" t="s">
        <v>58</v>
      </c>
      <c r="C278" s="12" t="s">
        <v>416</v>
      </c>
      <c r="D278" s="46">
        <v>29241234</v>
      </c>
      <c r="E278" s="47">
        <v>45169</v>
      </c>
      <c r="F278" s="47">
        <v>45169</v>
      </c>
      <c r="G278" s="46">
        <v>1</v>
      </c>
      <c r="H278" s="47">
        <v>45183</v>
      </c>
      <c r="I278" s="47">
        <v>45203</v>
      </c>
      <c r="J278" s="46">
        <v>20</v>
      </c>
      <c r="K278" s="47">
        <v>45139</v>
      </c>
      <c r="L278" s="47">
        <v>45291</v>
      </c>
      <c r="M278" s="46">
        <v>70496</v>
      </c>
      <c r="N278" s="12" t="s">
        <v>507</v>
      </c>
      <c r="O278" s="46" t="s">
        <v>61</v>
      </c>
      <c r="P278" s="46" t="s">
        <v>62</v>
      </c>
      <c r="Q278" s="49">
        <v>1021</v>
      </c>
      <c r="R278" s="46">
        <v>0</v>
      </c>
      <c r="S278" s="46">
        <v>955.24</v>
      </c>
      <c r="T278" s="46">
        <v>65.760000000000005</v>
      </c>
      <c r="U278" s="48">
        <v>0.9355</v>
      </c>
      <c r="V278" s="46" t="s">
        <v>44</v>
      </c>
      <c r="W278" s="46">
        <v>223285376</v>
      </c>
      <c r="X278" s="46" t="s">
        <v>508</v>
      </c>
      <c r="Y278" s="46" t="s">
        <v>64</v>
      </c>
      <c r="Z278" s="46" t="s">
        <v>509</v>
      </c>
      <c r="AA278" s="12" t="s">
        <v>510</v>
      </c>
      <c r="AB278" s="46">
        <v>0</v>
      </c>
      <c r="AD278" s="46" t="s">
        <v>67</v>
      </c>
      <c r="AE278" s="46">
        <v>22</v>
      </c>
    </row>
    <row r="279" spans="1:31" x14ac:dyDescent="0.25">
      <c r="A279" s="46" t="s">
        <v>57</v>
      </c>
      <c r="B279" s="46" t="s">
        <v>58</v>
      </c>
      <c r="C279" s="12" t="s">
        <v>416</v>
      </c>
      <c r="D279" s="46">
        <v>29241234</v>
      </c>
      <c r="E279" s="47">
        <v>45169</v>
      </c>
      <c r="F279" s="47">
        <v>45169</v>
      </c>
      <c r="G279" s="46">
        <v>1</v>
      </c>
      <c r="H279" s="47">
        <v>45183</v>
      </c>
      <c r="I279" s="47">
        <v>45203</v>
      </c>
      <c r="J279" s="46">
        <v>20</v>
      </c>
      <c r="K279" s="47">
        <v>45139</v>
      </c>
      <c r="L279" s="47">
        <v>45291</v>
      </c>
      <c r="M279" s="46">
        <v>70498</v>
      </c>
      <c r="N279" s="12" t="s">
        <v>466</v>
      </c>
      <c r="O279" s="46" t="s">
        <v>61</v>
      </c>
      <c r="P279" s="46" t="s">
        <v>62</v>
      </c>
      <c r="Q279" s="49">
        <v>1228</v>
      </c>
      <c r="R279" s="46">
        <v>0</v>
      </c>
      <c r="S279" s="49">
        <v>1162.24</v>
      </c>
      <c r="T279" s="46">
        <v>65.760000000000005</v>
      </c>
      <c r="U279" s="48">
        <v>0.94640000000000002</v>
      </c>
      <c r="V279" s="46" t="s">
        <v>44</v>
      </c>
      <c r="W279" s="46">
        <v>223285376</v>
      </c>
      <c r="X279" s="46" t="s">
        <v>508</v>
      </c>
      <c r="Y279" s="46" t="s">
        <v>64</v>
      </c>
      <c r="Z279" s="46" t="s">
        <v>509</v>
      </c>
      <c r="AA279" s="12" t="s">
        <v>510</v>
      </c>
      <c r="AB279" s="46">
        <v>0</v>
      </c>
      <c r="AD279" s="46" t="s">
        <v>67</v>
      </c>
      <c r="AE279" s="46">
        <v>22</v>
      </c>
    </row>
    <row r="280" spans="1:31" x14ac:dyDescent="0.25">
      <c r="A280" s="46" t="s">
        <v>57</v>
      </c>
      <c r="B280" s="46" t="s">
        <v>58</v>
      </c>
      <c r="C280" s="12" t="s">
        <v>416</v>
      </c>
      <c r="D280" s="46">
        <v>29241234</v>
      </c>
      <c r="E280" s="47">
        <v>45171</v>
      </c>
      <c r="F280" s="47">
        <v>45171</v>
      </c>
      <c r="G280" s="46">
        <v>1</v>
      </c>
      <c r="H280" s="47">
        <v>45188</v>
      </c>
      <c r="I280" s="47">
        <v>45203</v>
      </c>
      <c r="J280" s="46">
        <v>15</v>
      </c>
      <c r="K280" s="47">
        <v>45139</v>
      </c>
      <c r="L280" s="47">
        <v>45291</v>
      </c>
      <c r="M280" s="46">
        <v>70547</v>
      </c>
      <c r="N280" s="12" t="s">
        <v>511</v>
      </c>
      <c r="O280" s="46" t="s">
        <v>61</v>
      </c>
      <c r="P280" s="46" t="s">
        <v>62</v>
      </c>
      <c r="Q280" s="46">
        <v>840</v>
      </c>
      <c r="R280" s="46">
        <v>0</v>
      </c>
      <c r="S280" s="46">
        <v>794.56</v>
      </c>
      <c r="T280" s="46">
        <v>45.44</v>
      </c>
      <c r="U280" s="48">
        <v>0.94589999999999996</v>
      </c>
      <c r="V280" s="46" t="s">
        <v>44</v>
      </c>
      <c r="W280" s="46">
        <v>223291067</v>
      </c>
      <c r="X280" s="46" t="s">
        <v>512</v>
      </c>
      <c r="Y280" s="46" t="s">
        <v>64</v>
      </c>
      <c r="Z280" s="46" t="s">
        <v>505</v>
      </c>
      <c r="AA280" s="12" t="s">
        <v>506</v>
      </c>
      <c r="AB280" s="46">
        <v>0</v>
      </c>
      <c r="AD280" s="46" t="s">
        <v>67</v>
      </c>
      <c r="AE280" s="46">
        <v>22</v>
      </c>
    </row>
    <row r="281" spans="1:31" x14ac:dyDescent="0.25">
      <c r="A281" s="46" t="s">
        <v>57</v>
      </c>
      <c r="B281" s="46" t="s">
        <v>58</v>
      </c>
      <c r="C281" s="12" t="s">
        <v>416</v>
      </c>
      <c r="D281" s="46">
        <v>29241234</v>
      </c>
      <c r="E281" s="47">
        <v>45171</v>
      </c>
      <c r="F281" s="47">
        <v>45171</v>
      </c>
      <c r="G281" s="46">
        <v>1</v>
      </c>
      <c r="H281" s="47">
        <v>45188</v>
      </c>
      <c r="I281" s="47">
        <v>45203</v>
      </c>
      <c r="J281" s="46">
        <v>15</v>
      </c>
      <c r="K281" s="47">
        <v>45139</v>
      </c>
      <c r="L281" s="47">
        <v>45291</v>
      </c>
      <c r="M281" s="46">
        <v>70544</v>
      </c>
      <c r="N281" s="12" t="s">
        <v>513</v>
      </c>
      <c r="O281" s="46" t="s">
        <v>61</v>
      </c>
      <c r="P281" s="46" t="s">
        <v>62</v>
      </c>
      <c r="Q281" s="46">
        <v>705</v>
      </c>
      <c r="R281" s="46">
        <v>0</v>
      </c>
      <c r="S281" s="46">
        <v>659.56</v>
      </c>
      <c r="T281" s="46">
        <v>45.44</v>
      </c>
      <c r="U281" s="48">
        <v>0.9355</v>
      </c>
      <c r="V281" s="46" t="s">
        <v>44</v>
      </c>
      <c r="W281" s="46">
        <v>223291067</v>
      </c>
      <c r="X281" s="46" t="s">
        <v>512</v>
      </c>
      <c r="Y281" s="46" t="s">
        <v>64</v>
      </c>
      <c r="Z281" s="46" t="s">
        <v>505</v>
      </c>
      <c r="AA281" s="12" t="s">
        <v>506</v>
      </c>
      <c r="AB281" s="46">
        <v>0</v>
      </c>
      <c r="AD281" s="46" t="s">
        <v>67</v>
      </c>
      <c r="AE281" s="46">
        <v>22</v>
      </c>
    </row>
    <row r="282" spans="1:31" x14ac:dyDescent="0.25">
      <c r="A282" s="46" t="s">
        <v>57</v>
      </c>
      <c r="B282" s="46" t="s">
        <v>58</v>
      </c>
      <c r="C282" s="12" t="s">
        <v>416</v>
      </c>
      <c r="D282" s="46">
        <v>29241234</v>
      </c>
      <c r="E282" s="47">
        <v>45171</v>
      </c>
      <c r="F282" s="47">
        <v>45171</v>
      </c>
      <c r="G282" s="46">
        <v>1</v>
      </c>
      <c r="H282" s="47">
        <v>45188</v>
      </c>
      <c r="I282" s="47">
        <v>45203</v>
      </c>
      <c r="J282" s="46">
        <v>15</v>
      </c>
      <c r="K282" s="47">
        <v>45139</v>
      </c>
      <c r="L282" s="47">
        <v>45291</v>
      </c>
      <c r="M282" s="46">
        <v>70551</v>
      </c>
      <c r="N282" s="12" t="s">
        <v>514</v>
      </c>
      <c r="O282" s="46" t="s">
        <v>61</v>
      </c>
      <c r="P282" s="46" t="s">
        <v>62</v>
      </c>
      <c r="Q282" s="46">
        <v>862</v>
      </c>
      <c r="R282" s="46">
        <v>0</v>
      </c>
      <c r="S282" s="46">
        <v>805.87</v>
      </c>
      <c r="T282" s="46">
        <v>56.13</v>
      </c>
      <c r="U282" s="48">
        <v>0.93479999999999996</v>
      </c>
      <c r="V282" s="46" t="s">
        <v>44</v>
      </c>
      <c r="W282" s="46">
        <v>223291067</v>
      </c>
      <c r="X282" s="46" t="s">
        <v>512</v>
      </c>
      <c r="Y282" s="46" t="s">
        <v>64</v>
      </c>
      <c r="Z282" s="46" t="s">
        <v>505</v>
      </c>
      <c r="AA282" s="12" t="s">
        <v>506</v>
      </c>
      <c r="AB282" s="46">
        <v>0</v>
      </c>
      <c r="AD282" s="46" t="s">
        <v>67</v>
      </c>
      <c r="AE282" s="46">
        <v>22</v>
      </c>
    </row>
    <row r="283" spans="1:31" x14ac:dyDescent="0.25">
      <c r="A283" s="46" t="s">
        <v>57</v>
      </c>
      <c r="B283" s="46" t="s">
        <v>58</v>
      </c>
      <c r="C283" s="12" t="s">
        <v>416</v>
      </c>
      <c r="D283" s="46">
        <v>29951930</v>
      </c>
      <c r="E283" s="47">
        <v>45231</v>
      </c>
      <c r="F283" s="47">
        <v>45231</v>
      </c>
      <c r="G283" s="46">
        <v>1</v>
      </c>
      <c r="H283" s="47">
        <v>45247</v>
      </c>
      <c r="I283" s="47">
        <v>45259</v>
      </c>
      <c r="J283" s="46">
        <v>12</v>
      </c>
      <c r="K283" s="47">
        <v>45139</v>
      </c>
      <c r="L283" s="47">
        <v>45291</v>
      </c>
      <c r="M283" s="46">
        <v>71045</v>
      </c>
      <c r="N283" s="12" t="s">
        <v>111</v>
      </c>
      <c r="O283" s="46" t="s">
        <v>61</v>
      </c>
      <c r="P283" s="46" t="s">
        <v>62</v>
      </c>
      <c r="Q283" s="46">
        <v>139</v>
      </c>
      <c r="R283" s="46">
        <v>0</v>
      </c>
      <c r="S283" s="46">
        <v>132.05000000000001</v>
      </c>
      <c r="T283" s="46">
        <v>6.95</v>
      </c>
      <c r="U283" s="48">
        <v>0.95</v>
      </c>
      <c r="V283" s="46" t="s">
        <v>44</v>
      </c>
      <c r="W283" s="46">
        <v>223377390</v>
      </c>
      <c r="X283" s="46" t="s">
        <v>515</v>
      </c>
      <c r="Y283" s="46" t="s">
        <v>64</v>
      </c>
      <c r="Z283" s="46" t="s">
        <v>312</v>
      </c>
      <c r="AA283" s="12" t="s">
        <v>313</v>
      </c>
      <c r="AB283" s="46">
        <v>0</v>
      </c>
      <c r="AD283" s="46" t="s">
        <v>67</v>
      </c>
      <c r="AE283" s="46">
        <v>22</v>
      </c>
    </row>
    <row r="284" spans="1:31" x14ac:dyDescent="0.25">
      <c r="A284" s="46" t="s">
        <v>57</v>
      </c>
      <c r="B284" s="46" t="s">
        <v>58</v>
      </c>
      <c r="C284" s="12" t="s">
        <v>416</v>
      </c>
      <c r="D284" s="46">
        <v>29435948</v>
      </c>
      <c r="E284" s="47">
        <v>45189</v>
      </c>
      <c r="F284" s="47">
        <v>45189</v>
      </c>
      <c r="G284" s="46">
        <v>1</v>
      </c>
      <c r="H284" s="47">
        <v>45212</v>
      </c>
      <c r="I284" s="47">
        <v>45224</v>
      </c>
      <c r="J284" s="46">
        <v>12</v>
      </c>
      <c r="K284" s="47">
        <v>45139</v>
      </c>
      <c r="L284" s="47">
        <v>45291</v>
      </c>
      <c r="M284" s="46">
        <v>70470</v>
      </c>
      <c r="N284" s="12" t="s">
        <v>289</v>
      </c>
      <c r="O284" s="46" t="s">
        <v>215</v>
      </c>
      <c r="P284" s="46" t="s">
        <v>290</v>
      </c>
      <c r="Q284" s="46">
        <v>668</v>
      </c>
      <c r="R284" s="46">
        <v>0</v>
      </c>
      <c r="S284" s="46">
        <v>617.48</v>
      </c>
      <c r="T284" s="46">
        <v>50.52</v>
      </c>
      <c r="U284" s="48">
        <v>0.92430000000000001</v>
      </c>
      <c r="V284" s="46" t="s">
        <v>44</v>
      </c>
      <c r="W284" s="46">
        <v>223318598</v>
      </c>
      <c r="X284" s="46" t="s">
        <v>516</v>
      </c>
      <c r="Y284" s="46" t="s">
        <v>64</v>
      </c>
      <c r="Z284" s="46" t="s">
        <v>292</v>
      </c>
      <c r="AA284" s="12" t="s">
        <v>293</v>
      </c>
      <c r="AB284" s="46">
        <v>0</v>
      </c>
      <c r="AD284" s="46" t="s">
        <v>67</v>
      </c>
      <c r="AE284" s="46">
        <v>22</v>
      </c>
    </row>
    <row r="285" spans="1:31" x14ac:dyDescent="0.25">
      <c r="A285" s="46" t="s">
        <v>57</v>
      </c>
      <c r="B285" s="46" t="s">
        <v>58</v>
      </c>
      <c r="C285" s="12" t="s">
        <v>416</v>
      </c>
      <c r="D285" s="46">
        <v>29198314</v>
      </c>
      <c r="E285" s="47">
        <v>45164</v>
      </c>
      <c r="F285" s="47">
        <v>45164</v>
      </c>
      <c r="G285" s="46">
        <v>1</v>
      </c>
      <c r="H285" s="47">
        <v>45182</v>
      </c>
      <c r="I285" s="47">
        <v>45203</v>
      </c>
      <c r="J285" s="46">
        <v>21</v>
      </c>
      <c r="K285" s="47">
        <v>45139</v>
      </c>
      <c r="L285" s="47">
        <v>45291</v>
      </c>
      <c r="M285" s="46">
        <v>70450</v>
      </c>
      <c r="N285" s="12" t="s">
        <v>119</v>
      </c>
      <c r="O285" s="46" t="s">
        <v>61</v>
      </c>
      <c r="P285" s="46" t="s">
        <v>62</v>
      </c>
      <c r="Q285" s="46">
        <v>504</v>
      </c>
      <c r="R285" s="46">
        <v>0</v>
      </c>
      <c r="S285" s="46">
        <v>471.92</v>
      </c>
      <c r="T285" s="46">
        <v>32.08</v>
      </c>
      <c r="U285" s="48">
        <v>0.93630000000000002</v>
      </c>
      <c r="V285" s="46" t="s">
        <v>44</v>
      </c>
      <c r="W285" s="46">
        <v>223282657</v>
      </c>
      <c r="X285" s="46" t="s">
        <v>517</v>
      </c>
      <c r="Y285" s="46" t="s">
        <v>64</v>
      </c>
      <c r="Z285" s="46" t="s">
        <v>346</v>
      </c>
      <c r="AA285" s="12" t="s">
        <v>347</v>
      </c>
      <c r="AB285" s="46">
        <v>0</v>
      </c>
      <c r="AD285" s="46" t="s">
        <v>67</v>
      </c>
      <c r="AE285" s="46">
        <v>22</v>
      </c>
    </row>
    <row r="286" spans="1:31" x14ac:dyDescent="0.25">
      <c r="A286" s="46" t="s">
        <v>57</v>
      </c>
      <c r="B286" s="46" t="s">
        <v>58</v>
      </c>
      <c r="C286" s="12" t="s">
        <v>416</v>
      </c>
      <c r="D286" s="46">
        <v>29174222</v>
      </c>
      <c r="E286" s="47">
        <v>45162</v>
      </c>
      <c r="F286" s="47">
        <v>45162</v>
      </c>
      <c r="G286" s="46">
        <v>1</v>
      </c>
      <c r="H286" s="47">
        <v>45182</v>
      </c>
      <c r="I286" s="47">
        <v>45203</v>
      </c>
      <c r="J286" s="46">
        <v>21</v>
      </c>
      <c r="K286" s="47">
        <v>45139</v>
      </c>
      <c r="L286" s="47">
        <v>45291</v>
      </c>
      <c r="M286" s="46">
        <v>74176</v>
      </c>
      <c r="N286" s="12" t="s">
        <v>432</v>
      </c>
      <c r="O286" s="46" t="s">
        <v>61</v>
      </c>
      <c r="P286" s="46" t="s">
        <v>62</v>
      </c>
      <c r="Q286" s="49">
        <v>1278</v>
      </c>
      <c r="R286" s="46">
        <v>0</v>
      </c>
      <c r="S286" s="49">
        <v>1212.24</v>
      </c>
      <c r="T286" s="46">
        <v>65.760000000000005</v>
      </c>
      <c r="U286" s="48">
        <v>0.94850000000000001</v>
      </c>
      <c r="V286" s="46" t="s">
        <v>44</v>
      </c>
      <c r="W286" s="46">
        <v>223282719</v>
      </c>
      <c r="X286" s="46" t="s">
        <v>518</v>
      </c>
      <c r="Y286" s="46" t="s">
        <v>64</v>
      </c>
      <c r="Z286" s="46" t="s">
        <v>519</v>
      </c>
      <c r="AA286" s="12" t="s">
        <v>520</v>
      </c>
      <c r="AB286" s="46">
        <v>0</v>
      </c>
      <c r="AD286" s="46" t="s">
        <v>67</v>
      </c>
      <c r="AE286" s="46">
        <v>23</v>
      </c>
    </row>
    <row r="287" spans="1:31" x14ac:dyDescent="0.25">
      <c r="A287" s="46" t="s">
        <v>57</v>
      </c>
      <c r="B287" s="46" t="s">
        <v>58</v>
      </c>
      <c r="C287" s="12" t="s">
        <v>416</v>
      </c>
      <c r="D287" s="46">
        <v>29686327</v>
      </c>
      <c r="E287" s="47">
        <v>45209</v>
      </c>
      <c r="F287" s="47">
        <v>45209</v>
      </c>
      <c r="G287" s="46">
        <v>1</v>
      </c>
      <c r="H287" s="47">
        <v>45232</v>
      </c>
      <c r="I287" s="47">
        <v>45245</v>
      </c>
      <c r="J287" s="46">
        <v>13</v>
      </c>
      <c r="K287" s="47">
        <v>45139</v>
      </c>
      <c r="L287" s="47">
        <v>45291</v>
      </c>
      <c r="M287" s="46">
        <v>76815</v>
      </c>
      <c r="N287" s="12" t="s">
        <v>419</v>
      </c>
      <c r="O287" s="46" t="s">
        <v>61</v>
      </c>
      <c r="P287" s="46" t="s">
        <v>62</v>
      </c>
      <c r="Q287" s="46">
        <v>376</v>
      </c>
      <c r="R287" s="46">
        <v>0</v>
      </c>
      <c r="S287" s="46">
        <v>351.14</v>
      </c>
      <c r="T287" s="46">
        <v>24.86</v>
      </c>
      <c r="U287" s="48">
        <v>0.93379999999999996</v>
      </c>
      <c r="V287" s="46" t="s">
        <v>44</v>
      </c>
      <c r="W287" s="46">
        <v>223354204</v>
      </c>
      <c r="X287" s="46" t="s">
        <v>521</v>
      </c>
      <c r="Y287" s="46" t="s">
        <v>64</v>
      </c>
      <c r="Z287" s="46" t="s">
        <v>218</v>
      </c>
      <c r="AA287" s="12" t="s">
        <v>219</v>
      </c>
      <c r="AB287" s="46">
        <v>0</v>
      </c>
      <c r="AD287" s="46" t="s">
        <v>67</v>
      </c>
      <c r="AE287" s="46">
        <v>21</v>
      </c>
    </row>
    <row r="288" spans="1:31" x14ac:dyDescent="0.25">
      <c r="A288" s="46" t="s">
        <v>57</v>
      </c>
      <c r="B288" s="46" t="s">
        <v>58</v>
      </c>
      <c r="C288" s="12" t="s">
        <v>522</v>
      </c>
      <c r="D288" s="46">
        <v>29450662</v>
      </c>
      <c r="E288" s="47">
        <v>45191</v>
      </c>
      <c r="F288" s="47">
        <v>45191</v>
      </c>
      <c r="G288" s="46">
        <v>1</v>
      </c>
      <c r="H288" s="47">
        <v>45224</v>
      </c>
      <c r="I288" s="47">
        <v>45238</v>
      </c>
      <c r="J288" s="46">
        <v>14</v>
      </c>
      <c r="K288" s="47">
        <v>45139</v>
      </c>
      <c r="L288" s="47">
        <v>45291</v>
      </c>
      <c r="M288" s="46">
        <v>99223</v>
      </c>
      <c r="N288" s="12" t="s">
        <v>74</v>
      </c>
      <c r="O288" s="46" t="s">
        <v>148</v>
      </c>
      <c r="P288" s="46" t="s">
        <v>149</v>
      </c>
      <c r="Q288" s="46">
        <v>348</v>
      </c>
      <c r="R288" s="46">
        <v>0</v>
      </c>
      <c r="S288" s="46">
        <v>227.86</v>
      </c>
      <c r="T288" s="46">
        <v>120.14</v>
      </c>
      <c r="U288" s="48">
        <v>0.65469999999999995</v>
      </c>
      <c r="V288" s="46" t="s">
        <v>44</v>
      </c>
      <c r="W288" s="46">
        <v>223339188</v>
      </c>
      <c r="X288" s="46" t="s">
        <v>523</v>
      </c>
      <c r="Y288" s="46" t="s">
        <v>64</v>
      </c>
      <c r="Z288" s="46" t="s">
        <v>524</v>
      </c>
      <c r="AA288" s="12" t="s">
        <v>525</v>
      </c>
      <c r="AB288" s="46">
        <v>0</v>
      </c>
      <c r="AD288" s="46" t="s">
        <v>67</v>
      </c>
      <c r="AE288" s="46">
        <v>21</v>
      </c>
    </row>
    <row r="289" spans="1:31" x14ac:dyDescent="0.25">
      <c r="A289" s="46" t="s">
        <v>57</v>
      </c>
      <c r="B289" s="46" t="s">
        <v>58</v>
      </c>
      <c r="C289" s="12" t="s">
        <v>526</v>
      </c>
      <c r="D289" s="46">
        <v>29001119</v>
      </c>
      <c r="E289" s="47">
        <v>45154</v>
      </c>
      <c r="F289" s="47">
        <v>45154</v>
      </c>
      <c r="G289" s="46">
        <v>1</v>
      </c>
      <c r="H289" s="47">
        <v>45189</v>
      </c>
      <c r="I289" s="47">
        <v>45209</v>
      </c>
      <c r="J289" s="46">
        <v>20</v>
      </c>
      <c r="K289" s="47">
        <v>45139</v>
      </c>
      <c r="L289" s="47">
        <v>45291</v>
      </c>
      <c r="M289" s="46" t="s">
        <v>527</v>
      </c>
      <c r="N289" s="12" t="s">
        <v>528</v>
      </c>
      <c r="O289" s="46" t="s">
        <v>91</v>
      </c>
      <c r="P289" s="46" t="s">
        <v>529</v>
      </c>
      <c r="Q289" s="49">
        <v>50670</v>
      </c>
      <c r="R289" s="46">
        <v>0</v>
      </c>
      <c r="S289" s="49">
        <v>40536</v>
      </c>
      <c r="T289" s="49">
        <v>10134</v>
      </c>
      <c r="U289" s="48">
        <v>0.8</v>
      </c>
      <c r="V289" s="46" t="s">
        <v>44</v>
      </c>
      <c r="W289" s="46">
        <v>223292465</v>
      </c>
      <c r="X289" s="46" t="s">
        <v>530</v>
      </c>
      <c r="Y289" s="46" t="s">
        <v>64</v>
      </c>
      <c r="Z289" s="46" t="s">
        <v>531</v>
      </c>
      <c r="AA289" s="12" t="s">
        <v>532</v>
      </c>
      <c r="AB289" s="46">
        <v>0</v>
      </c>
      <c r="AD289" s="46" t="s">
        <v>67</v>
      </c>
      <c r="AE289" s="46">
        <v>11</v>
      </c>
    </row>
    <row r="290" spans="1:31" x14ac:dyDescent="0.25">
      <c r="A290" s="46" t="s">
        <v>57</v>
      </c>
      <c r="B290" s="46" t="s">
        <v>58</v>
      </c>
      <c r="C290" s="12" t="s">
        <v>526</v>
      </c>
      <c r="D290" s="46">
        <v>29001119</v>
      </c>
      <c r="E290" s="47">
        <v>45154</v>
      </c>
      <c r="F290" s="47">
        <v>45154</v>
      </c>
      <c r="G290" s="46">
        <v>1</v>
      </c>
      <c r="H290" s="47">
        <v>45189</v>
      </c>
      <c r="I290" s="47">
        <v>45209</v>
      </c>
      <c r="J290" s="46">
        <v>20</v>
      </c>
      <c r="K290" s="47">
        <v>45139</v>
      </c>
      <c r="L290" s="47">
        <v>45291</v>
      </c>
      <c r="M290" s="46">
        <v>93458</v>
      </c>
      <c r="N290" s="12" t="s">
        <v>533</v>
      </c>
      <c r="O290" s="46" t="s">
        <v>91</v>
      </c>
      <c r="P290" s="46" t="s">
        <v>529</v>
      </c>
      <c r="Q290" s="49">
        <v>21101.97</v>
      </c>
      <c r="R290" s="46">
        <v>0</v>
      </c>
      <c r="S290" s="49">
        <v>20374.669999999998</v>
      </c>
      <c r="T290" s="46">
        <v>727.3</v>
      </c>
      <c r="U290" s="48">
        <v>0.96550000000000002</v>
      </c>
      <c r="V290" s="46" t="s">
        <v>44</v>
      </c>
      <c r="W290" s="46">
        <v>223292465</v>
      </c>
      <c r="X290" s="46" t="s">
        <v>530</v>
      </c>
      <c r="Y290" s="46" t="s">
        <v>64</v>
      </c>
      <c r="Z290" s="46" t="s">
        <v>531</v>
      </c>
      <c r="AA290" s="12" t="s">
        <v>532</v>
      </c>
      <c r="AB290" s="46">
        <v>0</v>
      </c>
      <c r="AD290" s="46" t="s">
        <v>67</v>
      </c>
      <c r="AE290" s="46">
        <v>11</v>
      </c>
    </row>
    <row r="291" spans="1:31" x14ac:dyDescent="0.25">
      <c r="A291" s="46" t="s">
        <v>57</v>
      </c>
      <c r="B291" s="46" t="s">
        <v>58</v>
      </c>
      <c r="C291" s="12" t="s">
        <v>526</v>
      </c>
      <c r="D291" s="46">
        <v>29001119</v>
      </c>
      <c r="E291" s="47">
        <v>45154</v>
      </c>
      <c r="F291" s="47">
        <v>45154</v>
      </c>
      <c r="G291" s="46">
        <v>1</v>
      </c>
      <c r="H291" s="47">
        <v>45189</v>
      </c>
      <c r="I291" s="47">
        <v>45209</v>
      </c>
      <c r="J291" s="46">
        <v>20</v>
      </c>
      <c r="K291" s="47">
        <v>45139</v>
      </c>
      <c r="L291" s="47">
        <v>45291</v>
      </c>
      <c r="M291" s="46">
        <v>92921</v>
      </c>
      <c r="N291" s="12" t="s">
        <v>534</v>
      </c>
      <c r="O291" s="46" t="s">
        <v>91</v>
      </c>
      <c r="P291" s="46" t="s">
        <v>529</v>
      </c>
      <c r="Q291" s="49">
        <v>8100.6</v>
      </c>
      <c r="R291" s="46">
        <v>0</v>
      </c>
      <c r="S291" s="49">
        <v>6480.48</v>
      </c>
      <c r="T291" s="49">
        <v>1620.12</v>
      </c>
      <c r="U291" s="48">
        <v>0.8</v>
      </c>
      <c r="V291" s="46" t="s">
        <v>44</v>
      </c>
      <c r="W291" s="46">
        <v>223292465</v>
      </c>
      <c r="X291" s="46" t="s">
        <v>530</v>
      </c>
      <c r="Y291" s="46" t="s">
        <v>64</v>
      </c>
      <c r="Z291" s="46" t="s">
        <v>531</v>
      </c>
      <c r="AA291" s="12" t="s">
        <v>532</v>
      </c>
      <c r="AB291" s="46">
        <v>0</v>
      </c>
      <c r="AD291" s="46" t="s">
        <v>67</v>
      </c>
      <c r="AE291" s="46">
        <v>11</v>
      </c>
    </row>
    <row r="292" spans="1:31" x14ac:dyDescent="0.25">
      <c r="A292" s="46" t="s">
        <v>57</v>
      </c>
      <c r="B292" s="46" t="s">
        <v>58</v>
      </c>
      <c r="C292" s="12" t="s">
        <v>526</v>
      </c>
      <c r="D292" s="46">
        <v>29001119</v>
      </c>
      <c r="E292" s="47">
        <v>45154</v>
      </c>
      <c r="F292" s="47">
        <v>45154</v>
      </c>
      <c r="G292" s="46">
        <v>1</v>
      </c>
      <c r="H292" s="47">
        <v>45189</v>
      </c>
      <c r="I292" s="47">
        <v>45209</v>
      </c>
      <c r="J292" s="46">
        <v>20</v>
      </c>
      <c r="K292" s="47">
        <v>45139</v>
      </c>
      <c r="L292" s="47">
        <v>45291</v>
      </c>
      <c r="M292" s="46" t="s">
        <v>535</v>
      </c>
      <c r="N292" s="12" t="s">
        <v>536</v>
      </c>
      <c r="O292" s="46" t="s">
        <v>91</v>
      </c>
      <c r="P292" s="46" t="s">
        <v>529</v>
      </c>
      <c r="Q292" s="49">
        <v>12750</v>
      </c>
      <c r="R292" s="46">
        <v>0</v>
      </c>
      <c r="S292" s="49">
        <v>10200</v>
      </c>
      <c r="T292" s="49">
        <v>2550</v>
      </c>
      <c r="U292" s="48">
        <v>0.8</v>
      </c>
      <c r="V292" s="46" t="s">
        <v>44</v>
      </c>
      <c r="W292" s="46">
        <v>223292465</v>
      </c>
      <c r="X292" s="46" t="s">
        <v>530</v>
      </c>
      <c r="Y292" s="46" t="s">
        <v>64</v>
      </c>
      <c r="Z292" s="46" t="s">
        <v>531</v>
      </c>
      <c r="AA292" s="12" t="s">
        <v>532</v>
      </c>
      <c r="AB292" s="46">
        <v>0</v>
      </c>
      <c r="AD292" s="46" t="s">
        <v>67</v>
      </c>
      <c r="AE292" s="46">
        <v>11</v>
      </c>
    </row>
    <row r="293" spans="1:31" x14ac:dyDescent="0.25">
      <c r="A293" s="46" t="s">
        <v>57</v>
      </c>
      <c r="B293" s="46" t="s">
        <v>58</v>
      </c>
      <c r="C293" s="12" t="s">
        <v>526</v>
      </c>
      <c r="D293" s="46">
        <v>29001119</v>
      </c>
      <c r="E293" s="47">
        <v>45154</v>
      </c>
      <c r="F293" s="47">
        <v>45154</v>
      </c>
      <c r="G293" s="46">
        <v>1</v>
      </c>
      <c r="H293" s="47">
        <v>45189</v>
      </c>
      <c r="I293" s="47">
        <v>45209</v>
      </c>
      <c r="J293" s="46">
        <v>20</v>
      </c>
      <c r="K293" s="47">
        <v>45139</v>
      </c>
      <c r="L293" s="47">
        <v>45291</v>
      </c>
      <c r="M293" s="46" t="s">
        <v>537</v>
      </c>
      <c r="N293" s="12" t="s">
        <v>538</v>
      </c>
      <c r="O293" s="46" t="s">
        <v>91</v>
      </c>
      <c r="P293" s="46" t="s">
        <v>529</v>
      </c>
      <c r="Q293" s="49">
        <v>6000</v>
      </c>
      <c r="R293" s="46">
        <v>0</v>
      </c>
      <c r="S293" s="49">
        <v>4800</v>
      </c>
      <c r="T293" s="49">
        <v>1200</v>
      </c>
      <c r="U293" s="48">
        <v>0.8</v>
      </c>
      <c r="V293" s="46" t="s">
        <v>44</v>
      </c>
      <c r="W293" s="46">
        <v>223292465</v>
      </c>
      <c r="X293" s="46" t="s">
        <v>530</v>
      </c>
      <c r="Y293" s="46" t="s">
        <v>64</v>
      </c>
      <c r="Z293" s="46" t="s">
        <v>531</v>
      </c>
      <c r="AA293" s="12" t="s">
        <v>532</v>
      </c>
      <c r="AB293" s="46">
        <v>0</v>
      </c>
      <c r="AD293" s="46" t="s">
        <v>67</v>
      </c>
      <c r="AE293" s="46">
        <v>11</v>
      </c>
    </row>
    <row r="294" spans="1:31" x14ac:dyDescent="0.25">
      <c r="A294" s="46" t="s">
        <v>57</v>
      </c>
      <c r="B294" s="46" t="s">
        <v>58</v>
      </c>
      <c r="C294" s="12" t="s">
        <v>526</v>
      </c>
      <c r="D294" s="46">
        <v>29001119</v>
      </c>
      <c r="E294" s="47">
        <v>45154</v>
      </c>
      <c r="F294" s="47">
        <v>45154</v>
      </c>
      <c r="G294" s="46">
        <v>1</v>
      </c>
      <c r="H294" s="47">
        <v>45189</v>
      </c>
      <c r="I294" s="47">
        <v>45209</v>
      </c>
      <c r="J294" s="46">
        <v>20</v>
      </c>
      <c r="K294" s="47">
        <v>45139</v>
      </c>
      <c r="L294" s="47">
        <v>45291</v>
      </c>
      <c r="M294" s="46">
        <v>99152</v>
      </c>
      <c r="N294" s="12" t="s">
        <v>539</v>
      </c>
      <c r="O294" s="46" t="s">
        <v>91</v>
      </c>
      <c r="P294" s="46" t="s">
        <v>529</v>
      </c>
      <c r="Q294" s="46">
        <v>880.02</v>
      </c>
      <c r="R294" s="46">
        <v>0</v>
      </c>
      <c r="S294" s="46">
        <v>831.57</v>
      </c>
      <c r="T294" s="46">
        <v>48.45</v>
      </c>
      <c r="U294" s="48">
        <v>0.94489999999999996</v>
      </c>
      <c r="V294" s="46" t="s">
        <v>44</v>
      </c>
      <c r="W294" s="46">
        <v>223292465</v>
      </c>
      <c r="X294" s="46" t="s">
        <v>530</v>
      </c>
      <c r="Y294" s="46" t="s">
        <v>64</v>
      </c>
      <c r="Z294" s="46" t="s">
        <v>531</v>
      </c>
      <c r="AA294" s="12" t="s">
        <v>532</v>
      </c>
      <c r="AB294" s="46">
        <v>0</v>
      </c>
      <c r="AD294" s="46" t="s">
        <v>67</v>
      </c>
      <c r="AE294" s="46">
        <v>11</v>
      </c>
    </row>
    <row r="295" spans="1:31" x14ac:dyDescent="0.25">
      <c r="A295" s="46" t="s">
        <v>57</v>
      </c>
      <c r="B295" s="46" t="s">
        <v>58</v>
      </c>
      <c r="C295" s="12" t="s">
        <v>526</v>
      </c>
      <c r="D295" s="46">
        <v>29001119</v>
      </c>
      <c r="E295" s="47">
        <v>45154</v>
      </c>
      <c r="F295" s="47">
        <v>45154</v>
      </c>
      <c r="G295" s="46">
        <v>1</v>
      </c>
      <c r="H295" s="47">
        <v>45189</v>
      </c>
      <c r="I295" s="47">
        <v>45209</v>
      </c>
      <c r="J295" s="46">
        <v>20</v>
      </c>
      <c r="K295" s="47">
        <v>45139</v>
      </c>
      <c r="L295" s="47">
        <v>45291</v>
      </c>
      <c r="M295" s="46">
        <v>99153</v>
      </c>
      <c r="N295" s="12" t="s">
        <v>540</v>
      </c>
      <c r="O295" s="46" t="s">
        <v>91</v>
      </c>
      <c r="P295" s="46" t="s">
        <v>529</v>
      </c>
      <c r="Q295" s="46">
        <v>185.22</v>
      </c>
      <c r="R295" s="46">
        <v>0</v>
      </c>
      <c r="S295" s="46">
        <v>174.73</v>
      </c>
      <c r="T295" s="46">
        <v>10.49</v>
      </c>
      <c r="U295" s="48">
        <v>0.94330000000000003</v>
      </c>
      <c r="V295" s="46" t="s">
        <v>44</v>
      </c>
      <c r="W295" s="46">
        <v>223292465</v>
      </c>
      <c r="X295" s="46" t="s">
        <v>530</v>
      </c>
      <c r="Y295" s="46" t="s">
        <v>64</v>
      </c>
      <c r="Z295" s="46" t="s">
        <v>531</v>
      </c>
      <c r="AA295" s="12" t="s">
        <v>532</v>
      </c>
      <c r="AB295" s="46">
        <v>0</v>
      </c>
      <c r="AD295" s="46" t="s">
        <v>67</v>
      </c>
      <c r="AE295" s="46">
        <v>11</v>
      </c>
    </row>
    <row r="296" spans="1:31" x14ac:dyDescent="0.25">
      <c r="A296" s="46" t="s">
        <v>57</v>
      </c>
      <c r="B296" s="46" t="s">
        <v>58</v>
      </c>
      <c r="C296" s="12" t="s">
        <v>526</v>
      </c>
      <c r="D296" s="46">
        <v>29001119</v>
      </c>
      <c r="E296" s="47">
        <v>45154</v>
      </c>
      <c r="F296" s="47">
        <v>45154</v>
      </c>
      <c r="G296" s="46">
        <v>1</v>
      </c>
      <c r="H296" s="47">
        <v>45189</v>
      </c>
      <c r="I296" s="47">
        <v>45209</v>
      </c>
      <c r="J296" s="46">
        <v>20</v>
      </c>
      <c r="K296" s="47">
        <v>45139</v>
      </c>
      <c r="L296" s="47">
        <v>45291</v>
      </c>
      <c r="M296" s="46" t="s">
        <v>541</v>
      </c>
      <c r="N296" s="12" t="s">
        <v>542</v>
      </c>
      <c r="O296" s="46" t="s">
        <v>91</v>
      </c>
      <c r="P296" s="46" t="s">
        <v>529</v>
      </c>
      <c r="Q296" s="46">
        <v>528</v>
      </c>
      <c r="R296" s="46">
        <v>0</v>
      </c>
      <c r="S296" s="46">
        <v>500.28</v>
      </c>
      <c r="T296" s="46">
        <v>27.72</v>
      </c>
      <c r="U296" s="48">
        <v>0.94750000000000001</v>
      </c>
      <c r="V296" s="46" t="s">
        <v>44</v>
      </c>
      <c r="W296" s="46">
        <v>223292465</v>
      </c>
      <c r="X296" s="46" t="s">
        <v>530</v>
      </c>
      <c r="Y296" s="46" t="s">
        <v>64</v>
      </c>
      <c r="Z296" s="46" t="s">
        <v>531</v>
      </c>
      <c r="AA296" s="12" t="s">
        <v>532</v>
      </c>
      <c r="AB296" s="46">
        <v>0</v>
      </c>
      <c r="AD296" s="46" t="s">
        <v>67</v>
      </c>
      <c r="AE296" s="46">
        <v>11</v>
      </c>
    </row>
    <row r="297" spans="1:31" x14ac:dyDescent="0.25">
      <c r="A297" s="46" t="s">
        <v>57</v>
      </c>
      <c r="B297" s="46" t="s">
        <v>58</v>
      </c>
      <c r="C297" s="12" t="s">
        <v>543</v>
      </c>
      <c r="D297" s="46">
        <v>29695997</v>
      </c>
      <c r="E297" s="47">
        <v>45214</v>
      </c>
      <c r="F297" s="47">
        <v>45214</v>
      </c>
      <c r="G297" s="46">
        <v>1</v>
      </c>
      <c r="H297" s="47">
        <v>45226</v>
      </c>
      <c r="I297" s="47">
        <v>45238</v>
      </c>
      <c r="J297" s="46">
        <v>12</v>
      </c>
      <c r="K297" s="47">
        <v>45139</v>
      </c>
      <c r="L297" s="47">
        <v>45291</v>
      </c>
      <c r="M297" s="46">
        <v>99291</v>
      </c>
      <c r="N297" s="12" t="s">
        <v>318</v>
      </c>
      <c r="O297" s="46" t="s">
        <v>61</v>
      </c>
      <c r="P297" s="46" t="s">
        <v>62</v>
      </c>
      <c r="Q297" s="46">
        <v>847</v>
      </c>
      <c r="R297" s="46">
        <v>0</v>
      </c>
      <c r="S297" s="46">
        <v>663.19</v>
      </c>
      <c r="T297" s="46">
        <v>183.81</v>
      </c>
      <c r="U297" s="48">
        <v>0.78290000000000004</v>
      </c>
      <c r="V297" s="46" t="s">
        <v>44</v>
      </c>
      <c r="W297" s="46">
        <v>223344783</v>
      </c>
      <c r="X297" s="46" t="s">
        <v>544</v>
      </c>
      <c r="Y297" s="46" t="s">
        <v>64</v>
      </c>
      <c r="Z297" s="46" t="s">
        <v>545</v>
      </c>
      <c r="AA297" s="12" t="s">
        <v>546</v>
      </c>
      <c r="AB297" s="46">
        <v>0</v>
      </c>
      <c r="AD297" s="46" t="s">
        <v>67</v>
      </c>
      <c r="AE297" s="46">
        <v>21</v>
      </c>
    </row>
    <row r="298" spans="1:31" x14ac:dyDescent="0.25">
      <c r="A298" s="46" t="s">
        <v>57</v>
      </c>
      <c r="B298" s="46" t="s">
        <v>58</v>
      </c>
      <c r="C298" s="12" t="s">
        <v>547</v>
      </c>
      <c r="D298" s="46">
        <v>29631482</v>
      </c>
      <c r="E298" s="47">
        <v>45204</v>
      </c>
      <c r="F298" s="47">
        <v>45204</v>
      </c>
      <c r="G298" s="46">
        <v>1</v>
      </c>
      <c r="H298" s="47">
        <v>45224</v>
      </c>
      <c r="I298" s="47">
        <v>45238</v>
      </c>
      <c r="J298" s="46">
        <v>14</v>
      </c>
      <c r="K298" s="47">
        <v>45139</v>
      </c>
      <c r="L298" s="47">
        <v>45291</v>
      </c>
      <c r="M298" s="46">
        <v>99291</v>
      </c>
      <c r="N298" s="12" t="s">
        <v>318</v>
      </c>
      <c r="O298" s="46" t="s">
        <v>61</v>
      </c>
      <c r="P298" s="46" t="s">
        <v>62</v>
      </c>
      <c r="Q298" s="46">
        <v>603</v>
      </c>
      <c r="R298" s="46">
        <v>0</v>
      </c>
      <c r="S298" s="46">
        <v>419.19</v>
      </c>
      <c r="T298" s="46">
        <v>183.81</v>
      </c>
      <c r="U298" s="48">
        <v>0.69510000000000005</v>
      </c>
      <c r="V298" s="46" t="s">
        <v>44</v>
      </c>
      <c r="W298" s="46">
        <v>223338898</v>
      </c>
      <c r="X298" s="46" t="s">
        <v>548</v>
      </c>
      <c r="Y298" s="46" t="s">
        <v>64</v>
      </c>
      <c r="Z298" s="46" t="s">
        <v>549</v>
      </c>
      <c r="AA298" s="12" t="s">
        <v>550</v>
      </c>
      <c r="AB298" s="46">
        <v>0</v>
      </c>
      <c r="AD298" s="46" t="s">
        <v>67</v>
      </c>
      <c r="AE298" s="46">
        <v>21</v>
      </c>
    </row>
    <row r="299" spans="1:31" x14ac:dyDescent="0.25">
      <c r="A299" s="46" t="s">
        <v>57</v>
      </c>
      <c r="B299" s="46" t="s">
        <v>58</v>
      </c>
      <c r="C299" s="12" t="s">
        <v>547</v>
      </c>
      <c r="D299" s="46">
        <v>29631482</v>
      </c>
      <c r="E299" s="47">
        <v>45205</v>
      </c>
      <c r="F299" s="47">
        <v>45205</v>
      </c>
      <c r="G299" s="46">
        <v>1</v>
      </c>
      <c r="H299" s="47">
        <v>45224</v>
      </c>
      <c r="I299" s="47">
        <v>45238</v>
      </c>
      <c r="J299" s="46">
        <v>14</v>
      </c>
      <c r="K299" s="47">
        <v>45139</v>
      </c>
      <c r="L299" s="47">
        <v>45291</v>
      </c>
      <c r="M299" s="46">
        <v>99291</v>
      </c>
      <c r="N299" s="12" t="s">
        <v>318</v>
      </c>
      <c r="O299" s="46" t="s">
        <v>61</v>
      </c>
      <c r="P299" s="46" t="s">
        <v>62</v>
      </c>
      <c r="Q299" s="46">
        <v>603</v>
      </c>
      <c r="R299" s="46">
        <v>0</v>
      </c>
      <c r="S299" s="46">
        <v>419.19</v>
      </c>
      <c r="T299" s="46">
        <v>183.81</v>
      </c>
      <c r="U299" s="48">
        <v>0.69510000000000005</v>
      </c>
      <c r="V299" s="46" t="s">
        <v>44</v>
      </c>
      <c r="W299" s="46">
        <v>223338976</v>
      </c>
      <c r="X299" s="46" t="s">
        <v>551</v>
      </c>
      <c r="Y299" s="46" t="s">
        <v>64</v>
      </c>
      <c r="Z299" s="46" t="s">
        <v>549</v>
      </c>
      <c r="AA299" s="12" t="s">
        <v>550</v>
      </c>
      <c r="AB299" s="46">
        <v>0</v>
      </c>
      <c r="AD299" s="46" t="s">
        <v>67</v>
      </c>
      <c r="AE299" s="46">
        <v>21</v>
      </c>
    </row>
    <row r="300" spans="1:31" x14ac:dyDescent="0.25">
      <c r="A300" s="46" t="s">
        <v>57</v>
      </c>
      <c r="B300" s="46" t="s">
        <v>58</v>
      </c>
      <c r="C300" s="12" t="s">
        <v>547</v>
      </c>
      <c r="D300" s="46">
        <v>29631482</v>
      </c>
      <c r="E300" s="47">
        <v>45205</v>
      </c>
      <c r="F300" s="47">
        <v>45205</v>
      </c>
      <c r="G300" s="46">
        <v>1</v>
      </c>
      <c r="H300" s="47">
        <v>45224</v>
      </c>
      <c r="I300" s="47">
        <v>45238</v>
      </c>
      <c r="J300" s="46">
        <v>14</v>
      </c>
      <c r="K300" s="47">
        <v>45139</v>
      </c>
      <c r="L300" s="47">
        <v>45291</v>
      </c>
      <c r="M300" s="46">
        <v>99253</v>
      </c>
      <c r="N300" s="12" t="s">
        <v>321</v>
      </c>
      <c r="O300" s="46" t="s">
        <v>61</v>
      </c>
      <c r="P300" s="46" t="s">
        <v>62</v>
      </c>
      <c r="Q300" s="46">
        <v>263</v>
      </c>
      <c r="R300" s="46">
        <v>0</v>
      </c>
      <c r="S300" s="46">
        <v>179.25</v>
      </c>
      <c r="T300" s="46">
        <v>83.75</v>
      </c>
      <c r="U300" s="48">
        <v>0.68149999999999999</v>
      </c>
      <c r="V300" s="46" t="s">
        <v>44</v>
      </c>
      <c r="W300" s="46">
        <v>223339195</v>
      </c>
      <c r="X300" s="46" t="s">
        <v>552</v>
      </c>
      <c r="Y300" s="46" t="s">
        <v>64</v>
      </c>
      <c r="Z300" s="46" t="s">
        <v>549</v>
      </c>
      <c r="AA300" s="12" t="s">
        <v>550</v>
      </c>
      <c r="AB300" s="46">
        <v>0</v>
      </c>
      <c r="AD300" s="46" t="s">
        <v>67</v>
      </c>
      <c r="AE300" s="46">
        <v>21</v>
      </c>
    </row>
    <row r="301" spans="1:31" x14ac:dyDescent="0.25">
      <c r="A301" s="46" t="s">
        <v>57</v>
      </c>
      <c r="B301" s="46" t="s">
        <v>58</v>
      </c>
      <c r="C301" s="12" t="s">
        <v>547</v>
      </c>
      <c r="D301" s="46">
        <v>29631482</v>
      </c>
      <c r="E301" s="47">
        <v>45206</v>
      </c>
      <c r="F301" s="47">
        <v>45206</v>
      </c>
      <c r="G301" s="46">
        <v>1</v>
      </c>
      <c r="H301" s="47">
        <v>45224</v>
      </c>
      <c r="I301" s="47">
        <v>45238</v>
      </c>
      <c r="J301" s="46">
        <v>14</v>
      </c>
      <c r="K301" s="47">
        <v>45139</v>
      </c>
      <c r="L301" s="47">
        <v>45291</v>
      </c>
      <c r="M301" s="46">
        <v>99239</v>
      </c>
      <c r="N301" s="12" t="s">
        <v>73</v>
      </c>
      <c r="O301" s="46" t="s">
        <v>61</v>
      </c>
      <c r="P301" s="46" t="s">
        <v>62</v>
      </c>
      <c r="Q301" s="46">
        <v>233</v>
      </c>
      <c r="R301" s="46">
        <v>0</v>
      </c>
      <c r="S301" s="46">
        <v>160.85</v>
      </c>
      <c r="T301" s="46">
        <v>72.150000000000006</v>
      </c>
      <c r="U301" s="48">
        <v>0.69030000000000002</v>
      </c>
      <c r="V301" s="46" t="s">
        <v>44</v>
      </c>
      <c r="W301" s="46">
        <v>223339196</v>
      </c>
      <c r="X301" s="46" t="s">
        <v>553</v>
      </c>
      <c r="Y301" s="46" t="s">
        <v>64</v>
      </c>
      <c r="Z301" s="46" t="s">
        <v>549</v>
      </c>
      <c r="AA301" s="12" t="s">
        <v>550</v>
      </c>
      <c r="AB301" s="46">
        <v>0</v>
      </c>
      <c r="AD301" s="46" t="s">
        <v>67</v>
      </c>
      <c r="AE301" s="46">
        <v>21</v>
      </c>
    </row>
    <row r="302" spans="1:31" x14ac:dyDescent="0.25">
      <c r="A302" s="46" t="s">
        <v>57</v>
      </c>
      <c r="B302" s="46" t="s">
        <v>58</v>
      </c>
      <c r="C302" s="12" t="s">
        <v>547</v>
      </c>
      <c r="D302" s="46">
        <v>29631482</v>
      </c>
      <c r="E302" s="47">
        <v>45208</v>
      </c>
      <c r="F302" s="47">
        <v>45208</v>
      </c>
      <c r="G302" s="46">
        <v>1</v>
      </c>
      <c r="H302" s="47">
        <v>45224</v>
      </c>
      <c r="I302" s="47">
        <v>45252</v>
      </c>
      <c r="J302" s="46">
        <v>28</v>
      </c>
      <c r="K302" s="47">
        <v>45139</v>
      </c>
      <c r="L302" s="47">
        <v>45291</v>
      </c>
      <c r="M302" s="46">
        <v>93306</v>
      </c>
      <c r="N302" s="12" t="s">
        <v>331</v>
      </c>
      <c r="O302" s="46" t="s">
        <v>61</v>
      </c>
      <c r="P302" s="46" t="s">
        <v>62</v>
      </c>
      <c r="Q302" s="46">
        <v>164</v>
      </c>
      <c r="R302" s="46">
        <v>0</v>
      </c>
      <c r="S302" s="46">
        <v>109.74</v>
      </c>
      <c r="T302" s="46">
        <v>54.26</v>
      </c>
      <c r="U302" s="48">
        <v>0.66910000000000003</v>
      </c>
      <c r="V302" s="46" t="s">
        <v>44</v>
      </c>
      <c r="W302" s="46">
        <v>223339269</v>
      </c>
      <c r="X302" s="46" t="s">
        <v>554</v>
      </c>
      <c r="Y302" s="46" t="s">
        <v>64</v>
      </c>
      <c r="Z302" s="46" t="s">
        <v>555</v>
      </c>
      <c r="AA302" s="12" t="s">
        <v>556</v>
      </c>
      <c r="AB302" s="46">
        <v>0</v>
      </c>
      <c r="AD302" s="46" t="s">
        <v>67</v>
      </c>
      <c r="AE302" s="46">
        <v>21</v>
      </c>
    </row>
    <row r="303" spans="1:31" x14ac:dyDescent="0.25">
      <c r="A303" s="46" t="s">
        <v>57</v>
      </c>
      <c r="B303" s="46" t="s">
        <v>58</v>
      </c>
      <c r="C303" s="12" t="s">
        <v>547</v>
      </c>
      <c r="D303" s="46">
        <v>29121738</v>
      </c>
      <c r="E303" s="47">
        <v>45159</v>
      </c>
      <c r="F303" s="47">
        <v>45159</v>
      </c>
      <c r="G303" s="46">
        <v>1</v>
      </c>
      <c r="H303" s="47">
        <v>45265</v>
      </c>
      <c r="I303" s="47">
        <v>45273</v>
      </c>
      <c r="J303" s="46">
        <v>8</v>
      </c>
      <c r="K303" s="47">
        <v>45139</v>
      </c>
      <c r="L303" s="47">
        <v>45291</v>
      </c>
      <c r="M303" s="46">
        <v>99284</v>
      </c>
      <c r="N303" s="12" t="s">
        <v>155</v>
      </c>
      <c r="O303" s="46" t="s">
        <v>61</v>
      </c>
      <c r="P303" s="46" t="s">
        <v>62</v>
      </c>
      <c r="Q303" s="46">
        <v>264</v>
      </c>
      <c r="R303" s="46">
        <v>0</v>
      </c>
      <c r="S303" s="46">
        <v>182.76</v>
      </c>
      <c r="T303" s="46">
        <v>81.239999999999995</v>
      </c>
      <c r="U303" s="48">
        <v>0.69220000000000004</v>
      </c>
      <c r="V303" s="46" t="s">
        <v>44</v>
      </c>
      <c r="W303" s="46">
        <v>223401828</v>
      </c>
      <c r="X303" s="46" t="s">
        <v>557</v>
      </c>
      <c r="Y303" s="46" t="s">
        <v>64</v>
      </c>
      <c r="Z303" s="46" t="s">
        <v>558</v>
      </c>
      <c r="AA303" s="12" t="s">
        <v>559</v>
      </c>
      <c r="AB303" s="46">
        <v>0</v>
      </c>
      <c r="AD303" s="46" t="s">
        <v>67</v>
      </c>
      <c r="AE303" s="46">
        <v>23</v>
      </c>
    </row>
    <row r="304" spans="1:31" x14ac:dyDescent="0.25">
      <c r="A304" s="46" t="s">
        <v>57</v>
      </c>
      <c r="B304" s="46" t="s">
        <v>58</v>
      </c>
      <c r="C304" s="12" t="s">
        <v>560</v>
      </c>
      <c r="D304" s="46">
        <v>30044643</v>
      </c>
      <c r="E304" s="47">
        <v>45239</v>
      </c>
      <c r="F304" s="47">
        <v>45239</v>
      </c>
      <c r="G304" s="46">
        <v>1</v>
      </c>
      <c r="H304" s="47">
        <v>45258</v>
      </c>
      <c r="I304" s="47">
        <v>45266</v>
      </c>
      <c r="J304" s="46">
        <v>8</v>
      </c>
      <c r="K304" s="47">
        <v>45139</v>
      </c>
      <c r="L304" s="47">
        <v>45291</v>
      </c>
      <c r="M304" s="46">
        <v>99284</v>
      </c>
      <c r="N304" s="12" t="s">
        <v>155</v>
      </c>
      <c r="O304" s="46" t="s">
        <v>61</v>
      </c>
      <c r="P304" s="46" t="s">
        <v>121</v>
      </c>
      <c r="Q304" s="46">
        <v>942.18</v>
      </c>
      <c r="R304" s="46">
        <v>0</v>
      </c>
      <c r="S304" s="46">
        <v>860.94</v>
      </c>
      <c r="T304" s="46">
        <v>81.239999999999995</v>
      </c>
      <c r="U304" s="48">
        <v>0.91369999999999996</v>
      </c>
      <c r="V304" s="46" t="s">
        <v>44</v>
      </c>
      <c r="W304" s="46">
        <v>223391622</v>
      </c>
      <c r="X304" s="46" t="s">
        <v>561</v>
      </c>
      <c r="Y304" s="46" t="s">
        <v>64</v>
      </c>
      <c r="Z304" s="46" t="s">
        <v>168</v>
      </c>
      <c r="AA304" s="12" t="s">
        <v>169</v>
      </c>
      <c r="AB304" s="46">
        <v>0</v>
      </c>
      <c r="AD304" s="46" t="s">
        <v>67</v>
      </c>
      <c r="AE304" s="46">
        <v>23</v>
      </c>
    </row>
    <row r="305" spans="1:31" x14ac:dyDescent="0.25">
      <c r="A305" s="46" t="s">
        <v>57</v>
      </c>
      <c r="B305" s="46" t="s">
        <v>58</v>
      </c>
      <c r="C305" s="12" t="s">
        <v>560</v>
      </c>
      <c r="D305" s="46">
        <v>29631482</v>
      </c>
      <c r="E305" s="47">
        <v>45204</v>
      </c>
      <c r="F305" s="47">
        <v>45204</v>
      </c>
      <c r="G305" s="46">
        <v>1</v>
      </c>
      <c r="H305" s="47">
        <v>45230</v>
      </c>
      <c r="I305" s="47">
        <v>45238</v>
      </c>
      <c r="J305" s="46">
        <v>8</v>
      </c>
      <c r="K305" s="47">
        <v>45139</v>
      </c>
      <c r="L305" s="47">
        <v>45291</v>
      </c>
      <c r="M305" s="46">
        <v>99291</v>
      </c>
      <c r="N305" s="12" t="s">
        <v>318</v>
      </c>
      <c r="O305" s="46" t="s">
        <v>61</v>
      </c>
      <c r="P305" s="46" t="s">
        <v>62</v>
      </c>
      <c r="Q305" s="49">
        <v>1793.56</v>
      </c>
      <c r="R305" s="46">
        <v>0</v>
      </c>
      <c r="S305" s="49">
        <v>1609.75</v>
      </c>
      <c r="T305" s="46">
        <v>183.81</v>
      </c>
      <c r="U305" s="48">
        <v>0.89749999999999996</v>
      </c>
      <c r="V305" s="46" t="s">
        <v>44</v>
      </c>
      <c r="W305" s="46">
        <v>223348738</v>
      </c>
      <c r="X305" s="46" t="s">
        <v>562</v>
      </c>
      <c r="Y305" s="46" t="s">
        <v>64</v>
      </c>
      <c r="Z305" s="46" t="s">
        <v>549</v>
      </c>
      <c r="AA305" s="12" t="s">
        <v>550</v>
      </c>
      <c r="AB305" s="46">
        <v>0</v>
      </c>
      <c r="AD305" s="46" t="s">
        <v>67</v>
      </c>
      <c r="AE305" s="46">
        <v>23</v>
      </c>
    </row>
    <row r="306" spans="1:31" x14ac:dyDescent="0.25">
      <c r="A306" s="46" t="s">
        <v>57</v>
      </c>
      <c r="B306" s="46" t="s">
        <v>58</v>
      </c>
      <c r="C306" s="12" t="s">
        <v>560</v>
      </c>
      <c r="D306" s="46">
        <v>29631482</v>
      </c>
      <c r="E306" s="47">
        <v>45204</v>
      </c>
      <c r="F306" s="47">
        <v>45204</v>
      </c>
      <c r="G306" s="46">
        <v>1</v>
      </c>
      <c r="H306" s="47">
        <v>45230</v>
      </c>
      <c r="I306" s="47">
        <v>45238</v>
      </c>
      <c r="J306" s="46">
        <v>8</v>
      </c>
      <c r="K306" s="47">
        <v>45139</v>
      </c>
      <c r="L306" s="47">
        <v>45291</v>
      </c>
      <c r="M306" s="46">
        <v>93010</v>
      </c>
      <c r="N306" s="12" t="s">
        <v>310</v>
      </c>
      <c r="O306" s="46" t="s">
        <v>61</v>
      </c>
      <c r="P306" s="46" t="s">
        <v>62</v>
      </c>
      <c r="Q306" s="46">
        <v>68.11</v>
      </c>
      <c r="R306" s="46">
        <v>0</v>
      </c>
      <c r="S306" s="46">
        <v>61.69</v>
      </c>
      <c r="T306" s="46">
        <v>6.42</v>
      </c>
      <c r="U306" s="48">
        <v>0.90569999999999995</v>
      </c>
      <c r="V306" s="46" t="s">
        <v>44</v>
      </c>
      <c r="W306" s="46">
        <v>223348738</v>
      </c>
      <c r="X306" s="46" t="s">
        <v>562</v>
      </c>
      <c r="Y306" s="46" t="s">
        <v>64</v>
      </c>
      <c r="Z306" s="46" t="s">
        <v>549</v>
      </c>
      <c r="AA306" s="12" t="s">
        <v>550</v>
      </c>
      <c r="AB306" s="46">
        <v>0</v>
      </c>
      <c r="AD306" s="46" t="s">
        <v>67</v>
      </c>
      <c r="AE306" s="46">
        <v>23</v>
      </c>
    </row>
    <row r="307" spans="1:31" x14ac:dyDescent="0.25">
      <c r="A307" s="46" t="s">
        <v>57</v>
      </c>
      <c r="B307" s="46" t="s">
        <v>58</v>
      </c>
      <c r="C307" s="12" t="s">
        <v>560</v>
      </c>
      <c r="D307" s="46">
        <v>29121738</v>
      </c>
      <c r="E307" s="47">
        <v>45159</v>
      </c>
      <c r="F307" s="47">
        <v>45159</v>
      </c>
      <c r="G307" s="46">
        <v>1</v>
      </c>
      <c r="H307" s="47">
        <v>45182</v>
      </c>
      <c r="I307" s="47">
        <v>45203</v>
      </c>
      <c r="J307" s="46">
        <v>21</v>
      </c>
      <c r="K307" s="47">
        <v>45139</v>
      </c>
      <c r="L307" s="47">
        <v>45291</v>
      </c>
      <c r="M307" s="46">
        <v>99284</v>
      </c>
      <c r="N307" s="12" t="s">
        <v>155</v>
      </c>
      <c r="O307" s="46" t="s">
        <v>61</v>
      </c>
      <c r="P307" s="46" t="s">
        <v>62</v>
      </c>
      <c r="Q307" s="46">
        <v>942.18</v>
      </c>
      <c r="R307" s="46">
        <v>0</v>
      </c>
      <c r="S307" s="46">
        <v>860.94</v>
      </c>
      <c r="T307" s="46">
        <v>81.239999999999995</v>
      </c>
      <c r="U307" s="48">
        <v>0.91369999999999996</v>
      </c>
      <c r="V307" s="46" t="s">
        <v>44</v>
      </c>
      <c r="W307" s="46">
        <v>223282764</v>
      </c>
      <c r="X307" s="46">
        <v>90723799926160</v>
      </c>
      <c r="Y307" s="46" t="s">
        <v>64</v>
      </c>
      <c r="Z307" s="46" t="s">
        <v>163</v>
      </c>
      <c r="AA307" s="12" t="s">
        <v>164</v>
      </c>
      <c r="AB307" s="46">
        <v>0</v>
      </c>
      <c r="AD307" s="46" t="s">
        <v>67</v>
      </c>
      <c r="AE307" s="46">
        <v>23</v>
      </c>
    </row>
    <row r="308" spans="1:31" x14ac:dyDescent="0.25">
      <c r="A308" s="46" t="s">
        <v>57</v>
      </c>
      <c r="B308" s="46" t="s">
        <v>58</v>
      </c>
      <c r="C308" s="12" t="s">
        <v>563</v>
      </c>
      <c r="D308" s="46">
        <v>29388423</v>
      </c>
      <c r="E308" s="47">
        <v>45196</v>
      </c>
      <c r="F308" s="47">
        <v>45196</v>
      </c>
      <c r="G308" s="46">
        <v>1</v>
      </c>
      <c r="H308" s="47">
        <v>45204</v>
      </c>
      <c r="I308" s="47">
        <v>45224</v>
      </c>
      <c r="J308" s="46">
        <v>20</v>
      </c>
      <c r="K308" s="47">
        <v>45139</v>
      </c>
      <c r="L308" s="47">
        <v>45291</v>
      </c>
      <c r="M308" s="46">
        <v>99203</v>
      </c>
      <c r="N308" s="12" t="s">
        <v>564</v>
      </c>
      <c r="O308" s="46" t="s">
        <v>78</v>
      </c>
      <c r="P308" s="46" t="s">
        <v>565</v>
      </c>
      <c r="Q308" s="46">
        <v>273</v>
      </c>
      <c r="R308" s="46">
        <v>0</v>
      </c>
      <c r="S308" s="46">
        <v>217.48</v>
      </c>
      <c r="T308" s="46">
        <v>55.52</v>
      </c>
      <c r="U308" s="48">
        <v>0.79659999999999997</v>
      </c>
      <c r="V308" s="46" t="s">
        <v>44</v>
      </c>
      <c r="W308" s="46">
        <v>223309425</v>
      </c>
      <c r="X308" s="46">
        <v>100323797434395</v>
      </c>
      <c r="Y308" s="46" t="s">
        <v>64</v>
      </c>
      <c r="Z308" s="46" t="s">
        <v>566</v>
      </c>
      <c r="AA308" s="12" t="s">
        <v>567</v>
      </c>
      <c r="AB308" s="46">
        <v>0</v>
      </c>
      <c r="AD308" s="46" t="s">
        <v>67</v>
      </c>
      <c r="AE308" s="46">
        <v>11</v>
      </c>
    </row>
    <row r="309" spans="1:31" x14ac:dyDescent="0.25">
      <c r="A309" s="46" t="s">
        <v>57</v>
      </c>
      <c r="B309" s="46" t="s">
        <v>58</v>
      </c>
      <c r="C309" s="12" t="s">
        <v>563</v>
      </c>
      <c r="D309" s="46">
        <v>29388423</v>
      </c>
      <c r="E309" s="47">
        <v>45196</v>
      </c>
      <c r="F309" s="47">
        <v>45196</v>
      </c>
      <c r="G309" s="46">
        <v>1</v>
      </c>
      <c r="H309" s="47">
        <v>45212</v>
      </c>
      <c r="I309" s="47">
        <v>45224</v>
      </c>
      <c r="J309" s="46">
        <v>12</v>
      </c>
      <c r="K309" s="47">
        <v>45139</v>
      </c>
      <c r="L309" s="47">
        <v>45291</v>
      </c>
      <c r="M309" s="46">
        <v>72190</v>
      </c>
      <c r="N309" s="12" t="s">
        <v>568</v>
      </c>
      <c r="O309" s="46" t="s">
        <v>78</v>
      </c>
      <c r="P309" s="46" t="s">
        <v>565</v>
      </c>
      <c r="Q309" s="46">
        <v>30</v>
      </c>
      <c r="R309" s="46">
        <v>0</v>
      </c>
      <c r="S309" s="46">
        <v>20.39</v>
      </c>
      <c r="T309" s="46">
        <v>9.61</v>
      </c>
      <c r="U309" s="48">
        <v>0.67959999999999998</v>
      </c>
      <c r="V309" s="46" t="s">
        <v>44</v>
      </c>
      <c r="W309" s="46">
        <v>223318207</v>
      </c>
      <c r="X309" s="46" t="s">
        <v>569</v>
      </c>
      <c r="Y309" s="46" t="s">
        <v>64</v>
      </c>
      <c r="Z309" s="46" t="s">
        <v>566</v>
      </c>
      <c r="AA309" s="12" t="s">
        <v>567</v>
      </c>
      <c r="AB309" s="46">
        <v>0</v>
      </c>
      <c r="AD309" s="46" t="s">
        <v>67</v>
      </c>
      <c r="AE309" s="46">
        <v>11</v>
      </c>
    </row>
    <row r="310" spans="1:31" x14ac:dyDescent="0.25">
      <c r="A310" s="46" t="s">
        <v>57</v>
      </c>
      <c r="B310" s="46" t="s">
        <v>58</v>
      </c>
      <c r="C310" s="12" t="s">
        <v>563</v>
      </c>
      <c r="D310" s="46">
        <v>29388423</v>
      </c>
      <c r="E310" s="47">
        <v>45196</v>
      </c>
      <c r="F310" s="47">
        <v>45196</v>
      </c>
      <c r="G310" s="46">
        <v>1</v>
      </c>
      <c r="H310" s="47">
        <v>45212</v>
      </c>
      <c r="I310" s="47">
        <v>45224</v>
      </c>
      <c r="J310" s="46">
        <v>12</v>
      </c>
      <c r="K310" s="47">
        <v>45139</v>
      </c>
      <c r="L310" s="47">
        <v>45291</v>
      </c>
      <c r="M310" s="46">
        <v>73552</v>
      </c>
      <c r="N310" s="12" t="s">
        <v>570</v>
      </c>
      <c r="O310" s="46" t="s">
        <v>78</v>
      </c>
      <c r="P310" s="46" t="s">
        <v>565</v>
      </c>
      <c r="Q310" s="46">
        <v>25</v>
      </c>
      <c r="R310" s="46">
        <v>0</v>
      </c>
      <c r="S310" s="46">
        <v>18.05</v>
      </c>
      <c r="T310" s="46">
        <v>6.95</v>
      </c>
      <c r="U310" s="48">
        <v>0.72199999999999998</v>
      </c>
      <c r="V310" s="46" t="s">
        <v>44</v>
      </c>
      <c r="W310" s="46">
        <v>223318207</v>
      </c>
      <c r="X310" s="46" t="s">
        <v>569</v>
      </c>
      <c r="Y310" s="46" t="s">
        <v>64</v>
      </c>
      <c r="Z310" s="46" t="s">
        <v>566</v>
      </c>
      <c r="AA310" s="12" t="s">
        <v>567</v>
      </c>
      <c r="AB310" s="46">
        <v>0</v>
      </c>
      <c r="AD310" s="46" t="s">
        <v>67</v>
      </c>
      <c r="AE310" s="46">
        <v>11</v>
      </c>
    </row>
    <row r="311" spans="1:31" x14ac:dyDescent="0.25">
      <c r="A311" s="46" t="s">
        <v>57</v>
      </c>
      <c r="B311" s="46" t="s">
        <v>58</v>
      </c>
      <c r="C311" s="12" t="s">
        <v>563</v>
      </c>
      <c r="D311" s="46">
        <v>29388423</v>
      </c>
      <c r="E311" s="47">
        <v>45196</v>
      </c>
      <c r="F311" s="47">
        <v>45196</v>
      </c>
      <c r="G311" s="46">
        <v>1</v>
      </c>
      <c r="H311" s="47">
        <v>45212</v>
      </c>
      <c r="I311" s="47">
        <v>45224</v>
      </c>
      <c r="J311" s="46">
        <v>12</v>
      </c>
      <c r="K311" s="47">
        <v>45139</v>
      </c>
      <c r="L311" s="47">
        <v>45291</v>
      </c>
      <c r="M311" s="46">
        <v>73110</v>
      </c>
      <c r="N311" s="12" t="s">
        <v>421</v>
      </c>
      <c r="O311" s="46" t="s">
        <v>78</v>
      </c>
      <c r="P311" s="46" t="s">
        <v>565</v>
      </c>
      <c r="Q311" s="46">
        <v>23</v>
      </c>
      <c r="R311" s="46">
        <v>0</v>
      </c>
      <c r="S311" s="46">
        <v>16.32</v>
      </c>
      <c r="T311" s="46">
        <v>6.68</v>
      </c>
      <c r="U311" s="48">
        <v>0.70950000000000002</v>
      </c>
      <c r="V311" s="46" t="s">
        <v>44</v>
      </c>
      <c r="W311" s="46">
        <v>223318207</v>
      </c>
      <c r="X311" s="46" t="s">
        <v>569</v>
      </c>
      <c r="Y311" s="46" t="s">
        <v>64</v>
      </c>
      <c r="Z311" s="46" t="s">
        <v>566</v>
      </c>
      <c r="AA311" s="12" t="s">
        <v>567</v>
      </c>
      <c r="AB311" s="46">
        <v>0</v>
      </c>
      <c r="AD311" s="46" t="s">
        <v>67</v>
      </c>
      <c r="AE311" s="46">
        <v>11</v>
      </c>
    </row>
    <row r="312" spans="1:31" x14ac:dyDescent="0.25">
      <c r="A312" s="46" t="s">
        <v>57</v>
      </c>
      <c r="B312" s="46" t="s">
        <v>58</v>
      </c>
      <c r="C312" s="12" t="s">
        <v>563</v>
      </c>
      <c r="D312" s="46">
        <v>29388423</v>
      </c>
      <c r="E312" s="47">
        <v>45196</v>
      </c>
      <c r="F312" s="47">
        <v>45196</v>
      </c>
      <c r="G312" s="46">
        <v>1</v>
      </c>
      <c r="H312" s="47">
        <v>45252</v>
      </c>
      <c r="I312" s="47">
        <v>45266</v>
      </c>
      <c r="J312" s="46">
        <v>14</v>
      </c>
      <c r="K312" s="47">
        <v>45139</v>
      </c>
      <c r="L312" s="47">
        <v>45291</v>
      </c>
      <c r="M312" s="46">
        <v>72190</v>
      </c>
      <c r="N312" s="12" t="s">
        <v>568</v>
      </c>
      <c r="O312" s="46" t="s">
        <v>78</v>
      </c>
      <c r="P312" s="46" t="s">
        <v>565</v>
      </c>
      <c r="Q312" s="46">
        <v>30</v>
      </c>
      <c r="R312" s="46">
        <v>30</v>
      </c>
      <c r="S312" s="46">
        <v>0</v>
      </c>
      <c r="T312" s="46">
        <v>0</v>
      </c>
      <c r="U312" s="48">
        <v>0</v>
      </c>
      <c r="V312" s="46" t="s">
        <v>44</v>
      </c>
      <c r="W312" s="46">
        <v>223383747</v>
      </c>
      <c r="X312" s="46">
        <v>112023785657305</v>
      </c>
      <c r="Y312" s="46" t="s">
        <v>64</v>
      </c>
      <c r="Z312" s="46" t="s">
        <v>566</v>
      </c>
      <c r="AA312" s="12" t="s">
        <v>567</v>
      </c>
      <c r="AB312" s="46">
        <v>0</v>
      </c>
      <c r="AD312" s="46" t="s">
        <v>67</v>
      </c>
      <c r="AE312" s="46">
        <v>11</v>
      </c>
    </row>
    <row r="313" spans="1:31" x14ac:dyDescent="0.25">
      <c r="A313" s="46" t="s">
        <v>57</v>
      </c>
      <c r="B313" s="46" t="s">
        <v>58</v>
      </c>
      <c r="C313" s="12" t="s">
        <v>563</v>
      </c>
      <c r="D313" s="46">
        <v>29388423</v>
      </c>
      <c r="E313" s="47">
        <v>45196</v>
      </c>
      <c r="F313" s="47">
        <v>45196</v>
      </c>
      <c r="G313" s="46">
        <v>1</v>
      </c>
      <c r="H313" s="47">
        <v>45252</v>
      </c>
      <c r="I313" s="47">
        <v>45266</v>
      </c>
      <c r="J313" s="46">
        <v>14</v>
      </c>
      <c r="K313" s="47">
        <v>45139</v>
      </c>
      <c r="L313" s="47">
        <v>45291</v>
      </c>
      <c r="M313" s="46">
        <v>73552</v>
      </c>
      <c r="N313" s="12" t="s">
        <v>570</v>
      </c>
      <c r="O313" s="46" t="s">
        <v>78</v>
      </c>
      <c r="P313" s="46" t="s">
        <v>565</v>
      </c>
      <c r="Q313" s="46">
        <v>25</v>
      </c>
      <c r="R313" s="46">
        <v>25</v>
      </c>
      <c r="S313" s="46">
        <v>0</v>
      </c>
      <c r="T313" s="46">
        <v>0</v>
      </c>
      <c r="U313" s="48">
        <v>0</v>
      </c>
      <c r="V313" s="46" t="s">
        <v>44</v>
      </c>
      <c r="W313" s="46">
        <v>223383747</v>
      </c>
      <c r="X313" s="46">
        <v>112023785657305</v>
      </c>
      <c r="Y313" s="46" t="s">
        <v>64</v>
      </c>
      <c r="Z313" s="46" t="s">
        <v>566</v>
      </c>
      <c r="AA313" s="12" t="s">
        <v>567</v>
      </c>
      <c r="AB313" s="46">
        <v>0</v>
      </c>
      <c r="AD313" s="46" t="s">
        <v>67</v>
      </c>
      <c r="AE313" s="46">
        <v>11</v>
      </c>
    </row>
    <row r="314" spans="1:31" x14ac:dyDescent="0.25">
      <c r="A314" s="46" t="s">
        <v>57</v>
      </c>
      <c r="B314" s="46" t="s">
        <v>58</v>
      </c>
      <c r="C314" s="12" t="s">
        <v>563</v>
      </c>
      <c r="D314" s="46">
        <v>29388423</v>
      </c>
      <c r="E314" s="47">
        <v>45196</v>
      </c>
      <c r="F314" s="47">
        <v>45196</v>
      </c>
      <c r="G314" s="46">
        <v>1</v>
      </c>
      <c r="H314" s="47">
        <v>45252</v>
      </c>
      <c r="I314" s="47">
        <v>45266</v>
      </c>
      <c r="J314" s="46">
        <v>14</v>
      </c>
      <c r="K314" s="47">
        <v>45139</v>
      </c>
      <c r="L314" s="47">
        <v>45291</v>
      </c>
      <c r="M314" s="46">
        <v>73110</v>
      </c>
      <c r="N314" s="12" t="s">
        <v>421</v>
      </c>
      <c r="O314" s="46" t="s">
        <v>78</v>
      </c>
      <c r="P314" s="46" t="s">
        <v>565</v>
      </c>
      <c r="Q314" s="46">
        <v>23</v>
      </c>
      <c r="R314" s="46">
        <v>23</v>
      </c>
      <c r="S314" s="46">
        <v>0</v>
      </c>
      <c r="T314" s="46">
        <v>0</v>
      </c>
      <c r="U314" s="48">
        <v>0</v>
      </c>
      <c r="V314" s="46" t="s">
        <v>44</v>
      </c>
      <c r="W314" s="46">
        <v>223383747</v>
      </c>
      <c r="X314" s="46">
        <v>112023785657305</v>
      </c>
      <c r="Y314" s="46" t="s">
        <v>64</v>
      </c>
      <c r="Z314" s="46" t="s">
        <v>566</v>
      </c>
      <c r="AA314" s="12" t="s">
        <v>567</v>
      </c>
      <c r="AB314" s="46">
        <v>0</v>
      </c>
      <c r="AD314" s="46" t="s">
        <v>67</v>
      </c>
      <c r="AE314" s="46">
        <v>11</v>
      </c>
    </row>
    <row r="315" spans="1:31" x14ac:dyDescent="0.25">
      <c r="A315" s="46" t="s">
        <v>57</v>
      </c>
      <c r="B315" s="46" t="s">
        <v>58</v>
      </c>
      <c r="C315" s="12" t="s">
        <v>563</v>
      </c>
      <c r="D315" s="46">
        <v>29388423</v>
      </c>
      <c r="E315" s="47">
        <v>45196</v>
      </c>
      <c r="F315" s="47">
        <v>45196</v>
      </c>
      <c r="G315" s="46">
        <v>1</v>
      </c>
      <c r="H315" s="47">
        <v>45253</v>
      </c>
      <c r="I315" s="47">
        <v>45266</v>
      </c>
      <c r="J315" s="46">
        <v>13</v>
      </c>
      <c r="K315" s="47">
        <v>45139</v>
      </c>
      <c r="L315" s="47">
        <v>45291</v>
      </c>
      <c r="M315" s="46">
        <v>99203</v>
      </c>
      <c r="N315" s="12" t="s">
        <v>564</v>
      </c>
      <c r="O315" s="46" t="s">
        <v>78</v>
      </c>
      <c r="P315" s="46" t="s">
        <v>565</v>
      </c>
      <c r="Q315" s="46">
        <v>273</v>
      </c>
      <c r="R315" s="46">
        <v>273</v>
      </c>
      <c r="S315" s="46">
        <v>0</v>
      </c>
      <c r="T315" s="46">
        <v>0</v>
      </c>
      <c r="U315" s="48">
        <v>0</v>
      </c>
      <c r="V315" s="46" t="s">
        <v>44</v>
      </c>
      <c r="W315" s="46">
        <v>223386887</v>
      </c>
      <c r="X315" s="46">
        <v>112123790818726</v>
      </c>
      <c r="Y315" s="46" t="s">
        <v>64</v>
      </c>
      <c r="Z315" s="46" t="s">
        <v>566</v>
      </c>
      <c r="AA315" s="12" t="s">
        <v>567</v>
      </c>
      <c r="AB315" s="46">
        <v>0</v>
      </c>
      <c r="AD315" s="46" t="s">
        <v>67</v>
      </c>
      <c r="AE315" s="46">
        <v>11</v>
      </c>
    </row>
    <row r="316" spans="1:31" x14ac:dyDescent="0.25">
      <c r="A316" s="46" t="s">
        <v>57</v>
      </c>
      <c r="B316" s="46" t="s">
        <v>58</v>
      </c>
      <c r="C316" s="12" t="s">
        <v>571</v>
      </c>
      <c r="D316" s="46">
        <v>29101483</v>
      </c>
      <c r="E316" s="47">
        <v>45167</v>
      </c>
      <c r="F316" s="47">
        <v>45167</v>
      </c>
      <c r="G316" s="46">
        <v>1</v>
      </c>
      <c r="H316" s="47">
        <v>45264</v>
      </c>
      <c r="I316" s="47">
        <v>45273</v>
      </c>
      <c r="J316" s="46">
        <v>9</v>
      </c>
      <c r="K316" s="47">
        <v>45139</v>
      </c>
      <c r="L316" s="47">
        <v>45291</v>
      </c>
      <c r="M316" s="46">
        <v>99214</v>
      </c>
      <c r="N316" s="12" t="s">
        <v>77</v>
      </c>
      <c r="O316" s="46" t="s">
        <v>78</v>
      </c>
      <c r="P316" s="46" t="s">
        <v>529</v>
      </c>
      <c r="Q316" s="46">
        <v>190</v>
      </c>
      <c r="R316" s="46">
        <v>0</v>
      </c>
      <c r="S316" s="46">
        <v>65.64</v>
      </c>
      <c r="T316" s="46">
        <v>124.36</v>
      </c>
      <c r="U316" s="48">
        <v>0.34539999999999998</v>
      </c>
      <c r="V316" s="46" t="s">
        <v>44</v>
      </c>
      <c r="W316" s="46">
        <v>223400913</v>
      </c>
      <c r="X316" s="46" t="s">
        <v>572</v>
      </c>
      <c r="Y316" s="46" t="s">
        <v>64</v>
      </c>
      <c r="Z316" s="46" t="s">
        <v>113</v>
      </c>
      <c r="AA316" s="12" t="s">
        <v>114</v>
      </c>
      <c r="AB316" s="46">
        <v>0</v>
      </c>
      <c r="AD316" s="46" t="s">
        <v>67</v>
      </c>
      <c r="AE316" s="46">
        <v>11</v>
      </c>
    </row>
    <row r="317" spans="1:31" x14ac:dyDescent="0.25">
      <c r="A317" s="46" t="s">
        <v>57</v>
      </c>
      <c r="B317" s="46" t="s">
        <v>58</v>
      </c>
      <c r="C317" s="12" t="s">
        <v>571</v>
      </c>
      <c r="D317" s="46">
        <v>29001119</v>
      </c>
      <c r="E317" s="47">
        <v>45154</v>
      </c>
      <c r="F317" s="47">
        <v>45154</v>
      </c>
      <c r="G317" s="46">
        <v>1</v>
      </c>
      <c r="H317" s="47">
        <v>45264</v>
      </c>
      <c r="I317" s="47">
        <v>45273</v>
      </c>
      <c r="J317" s="46">
        <v>9</v>
      </c>
      <c r="K317" s="47">
        <v>45139</v>
      </c>
      <c r="L317" s="47">
        <v>45291</v>
      </c>
      <c r="M317" s="46">
        <v>92928</v>
      </c>
      <c r="N317" s="12" t="s">
        <v>573</v>
      </c>
      <c r="O317" s="46" t="s">
        <v>91</v>
      </c>
      <c r="P317" s="46" t="s">
        <v>529</v>
      </c>
      <c r="Q317" s="46">
        <v>850</v>
      </c>
      <c r="R317" s="46">
        <v>0</v>
      </c>
      <c r="S317" s="46">
        <v>294.79000000000002</v>
      </c>
      <c r="T317" s="46">
        <v>555.21</v>
      </c>
      <c r="U317" s="48">
        <v>0.3468</v>
      </c>
      <c r="V317" s="46" t="s">
        <v>44</v>
      </c>
      <c r="W317" s="46">
        <v>223401360</v>
      </c>
      <c r="X317" s="46" t="s">
        <v>574</v>
      </c>
      <c r="Y317" s="46" t="s">
        <v>64</v>
      </c>
      <c r="Z317" s="46" t="s">
        <v>575</v>
      </c>
      <c r="AA317" s="12" t="s">
        <v>576</v>
      </c>
      <c r="AB317" s="46">
        <v>0</v>
      </c>
      <c r="AD317" s="46" t="s">
        <v>67</v>
      </c>
      <c r="AE317" s="46">
        <v>24</v>
      </c>
    </row>
    <row r="318" spans="1:31" x14ac:dyDescent="0.25">
      <c r="A318" s="46" t="s">
        <v>57</v>
      </c>
      <c r="B318" s="46" t="s">
        <v>58</v>
      </c>
      <c r="C318" s="12" t="s">
        <v>571</v>
      </c>
      <c r="D318" s="46">
        <v>29001119</v>
      </c>
      <c r="E318" s="47">
        <v>45154</v>
      </c>
      <c r="F318" s="47">
        <v>45154</v>
      </c>
      <c r="G318" s="46">
        <v>1</v>
      </c>
      <c r="H318" s="47">
        <v>45264</v>
      </c>
      <c r="I318" s="47">
        <v>45273</v>
      </c>
      <c r="J318" s="46">
        <v>9</v>
      </c>
      <c r="K318" s="47">
        <v>45139</v>
      </c>
      <c r="L318" s="47">
        <v>45291</v>
      </c>
      <c r="M318" s="46">
        <v>93458</v>
      </c>
      <c r="N318" s="12" t="s">
        <v>533</v>
      </c>
      <c r="O318" s="46" t="s">
        <v>91</v>
      </c>
      <c r="P318" s="46" t="s">
        <v>529</v>
      </c>
      <c r="Q318" s="46">
        <v>600</v>
      </c>
      <c r="R318" s="46">
        <v>0</v>
      </c>
      <c r="S318" s="46">
        <v>460.97</v>
      </c>
      <c r="T318" s="46">
        <v>139.03</v>
      </c>
      <c r="U318" s="48">
        <v>0.76819999999999999</v>
      </c>
      <c r="V318" s="46" t="s">
        <v>44</v>
      </c>
      <c r="W318" s="46">
        <v>223401360</v>
      </c>
      <c r="X318" s="46" t="s">
        <v>574</v>
      </c>
      <c r="Y318" s="46" t="s">
        <v>64</v>
      </c>
      <c r="Z318" s="46" t="s">
        <v>575</v>
      </c>
      <c r="AA318" s="12" t="s">
        <v>576</v>
      </c>
      <c r="AB318" s="46">
        <v>0</v>
      </c>
      <c r="AD318" s="46" t="s">
        <v>67</v>
      </c>
      <c r="AE318" s="46">
        <v>24</v>
      </c>
    </row>
    <row r="319" spans="1:31" x14ac:dyDescent="0.25">
      <c r="A319" s="46" t="s">
        <v>57</v>
      </c>
      <c r="B319" s="46" t="s">
        <v>58</v>
      </c>
      <c r="C319" s="12" t="s">
        <v>571</v>
      </c>
      <c r="D319" s="46">
        <v>29001119</v>
      </c>
      <c r="E319" s="47">
        <v>45154</v>
      </c>
      <c r="F319" s="47">
        <v>45154</v>
      </c>
      <c r="G319" s="46">
        <v>1</v>
      </c>
      <c r="H319" s="47">
        <v>45264</v>
      </c>
      <c r="I319" s="47">
        <v>45273</v>
      </c>
      <c r="J319" s="46">
        <v>9</v>
      </c>
      <c r="K319" s="47">
        <v>45139</v>
      </c>
      <c r="L319" s="47">
        <v>45291</v>
      </c>
      <c r="M319" s="46">
        <v>99152</v>
      </c>
      <c r="N319" s="12" t="s">
        <v>539</v>
      </c>
      <c r="O319" s="46" t="s">
        <v>91</v>
      </c>
      <c r="P319" s="46" t="s">
        <v>529</v>
      </c>
      <c r="Q319" s="46">
        <v>75</v>
      </c>
      <c r="R319" s="46">
        <v>0</v>
      </c>
      <c r="S319" s="46">
        <v>62.92</v>
      </c>
      <c r="T319" s="46">
        <v>12.08</v>
      </c>
      <c r="U319" s="48">
        <v>0.83889999999999998</v>
      </c>
      <c r="V319" s="46" t="s">
        <v>44</v>
      </c>
      <c r="W319" s="46">
        <v>223401360</v>
      </c>
      <c r="X319" s="46" t="s">
        <v>574</v>
      </c>
      <c r="Y319" s="46" t="s">
        <v>64</v>
      </c>
      <c r="Z319" s="46" t="s">
        <v>575</v>
      </c>
      <c r="AA319" s="12" t="s">
        <v>576</v>
      </c>
      <c r="AB319" s="46">
        <v>0</v>
      </c>
      <c r="AD319" s="46" t="s">
        <v>67</v>
      </c>
      <c r="AE319" s="46">
        <v>24</v>
      </c>
    </row>
    <row r="320" spans="1:31" x14ac:dyDescent="0.25">
      <c r="A320" s="46" t="s">
        <v>57</v>
      </c>
      <c r="B320" s="46" t="s">
        <v>58</v>
      </c>
      <c r="C320" s="12" t="s">
        <v>571</v>
      </c>
      <c r="D320" s="46">
        <v>29101483</v>
      </c>
      <c r="E320" s="47">
        <v>45167</v>
      </c>
      <c r="F320" s="47">
        <v>45167</v>
      </c>
      <c r="G320" s="46">
        <v>1</v>
      </c>
      <c r="H320" s="47">
        <v>45271</v>
      </c>
      <c r="I320" s="47">
        <v>45273</v>
      </c>
      <c r="J320" s="46">
        <v>2</v>
      </c>
      <c r="K320" s="47">
        <v>45139</v>
      </c>
      <c r="L320" s="47">
        <v>45291</v>
      </c>
      <c r="M320" s="46">
        <v>99214</v>
      </c>
      <c r="N320" s="12" t="s">
        <v>77</v>
      </c>
      <c r="O320" s="46" t="s">
        <v>78</v>
      </c>
      <c r="P320" s="46" t="s">
        <v>529</v>
      </c>
      <c r="Q320" s="46">
        <v>190</v>
      </c>
      <c r="R320" s="46">
        <v>190</v>
      </c>
      <c r="S320" s="46">
        <v>0</v>
      </c>
      <c r="T320" s="46">
        <v>0</v>
      </c>
      <c r="U320" s="48">
        <v>0</v>
      </c>
      <c r="V320" s="46" t="s">
        <v>44</v>
      </c>
      <c r="W320" s="46">
        <v>223411399</v>
      </c>
      <c r="X320" s="46" t="s">
        <v>577</v>
      </c>
      <c r="Y320" s="46" t="s">
        <v>64</v>
      </c>
      <c r="Z320" s="46" t="s">
        <v>113</v>
      </c>
      <c r="AA320" s="12" t="s">
        <v>114</v>
      </c>
      <c r="AB320" s="46">
        <v>0</v>
      </c>
      <c r="AD320" s="46" t="s">
        <v>67</v>
      </c>
      <c r="AE320" s="46">
        <v>11</v>
      </c>
    </row>
    <row r="321" spans="1:31" x14ac:dyDescent="0.25">
      <c r="A321" s="46" t="s">
        <v>57</v>
      </c>
      <c r="B321" s="46" t="s">
        <v>58</v>
      </c>
      <c r="C321" s="12" t="s">
        <v>571</v>
      </c>
      <c r="D321" s="46">
        <v>29001119</v>
      </c>
      <c r="E321" s="47">
        <v>45154</v>
      </c>
      <c r="F321" s="47">
        <v>45154</v>
      </c>
      <c r="G321" s="46">
        <v>1</v>
      </c>
      <c r="H321" s="47">
        <v>45271</v>
      </c>
      <c r="I321" s="47">
        <v>45273</v>
      </c>
      <c r="J321" s="46">
        <v>2</v>
      </c>
      <c r="K321" s="47">
        <v>45139</v>
      </c>
      <c r="L321" s="47">
        <v>45291</v>
      </c>
      <c r="M321" s="46">
        <v>92928</v>
      </c>
      <c r="N321" s="12" t="s">
        <v>573</v>
      </c>
      <c r="O321" s="46" t="s">
        <v>91</v>
      </c>
      <c r="P321" s="46" t="s">
        <v>529</v>
      </c>
      <c r="Q321" s="46">
        <v>850</v>
      </c>
      <c r="R321" s="46">
        <v>850</v>
      </c>
      <c r="S321" s="46">
        <v>0</v>
      </c>
      <c r="T321" s="46">
        <v>0</v>
      </c>
      <c r="U321" s="48">
        <v>0</v>
      </c>
      <c r="V321" s="46" t="s">
        <v>44</v>
      </c>
      <c r="W321" s="46">
        <v>223411568</v>
      </c>
      <c r="X321" s="46" t="s">
        <v>578</v>
      </c>
      <c r="Y321" s="46" t="s">
        <v>64</v>
      </c>
      <c r="Z321" s="46" t="s">
        <v>575</v>
      </c>
      <c r="AA321" s="12" t="s">
        <v>576</v>
      </c>
      <c r="AB321" s="46">
        <v>0</v>
      </c>
      <c r="AD321" s="46" t="s">
        <v>67</v>
      </c>
      <c r="AE321" s="46">
        <v>24</v>
      </c>
    </row>
    <row r="322" spans="1:31" x14ac:dyDescent="0.25">
      <c r="A322" s="46" t="s">
        <v>57</v>
      </c>
      <c r="B322" s="46" t="s">
        <v>58</v>
      </c>
      <c r="C322" s="12" t="s">
        <v>571</v>
      </c>
      <c r="D322" s="46">
        <v>29001119</v>
      </c>
      <c r="E322" s="47">
        <v>45154</v>
      </c>
      <c r="F322" s="47">
        <v>45154</v>
      </c>
      <c r="G322" s="46">
        <v>1</v>
      </c>
      <c r="H322" s="47">
        <v>45271</v>
      </c>
      <c r="I322" s="47">
        <v>45273</v>
      </c>
      <c r="J322" s="46">
        <v>2</v>
      </c>
      <c r="K322" s="47">
        <v>45139</v>
      </c>
      <c r="L322" s="47">
        <v>45291</v>
      </c>
      <c r="M322" s="46">
        <v>93458</v>
      </c>
      <c r="N322" s="12" t="s">
        <v>533</v>
      </c>
      <c r="O322" s="46" t="s">
        <v>91</v>
      </c>
      <c r="P322" s="46" t="s">
        <v>529</v>
      </c>
      <c r="Q322" s="46">
        <v>600</v>
      </c>
      <c r="R322" s="46">
        <v>600</v>
      </c>
      <c r="S322" s="46">
        <v>0</v>
      </c>
      <c r="T322" s="46">
        <v>0</v>
      </c>
      <c r="U322" s="48">
        <v>0</v>
      </c>
      <c r="V322" s="46" t="s">
        <v>44</v>
      </c>
      <c r="W322" s="46">
        <v>223411568</v>
      </c>
      <c r="X322" s="46" t="s">
        <v>578</v>
      </c>
      <c r="Y322" s="46" t="s">
        <v>64</v>
      </c>
      <c r="Z322" s="46" t="s">
        <v>575</v>
      </c>
      <c r="AA322" s="12" t="s">
        <v>576</v>
      </c>
      <c r="AB322" s="46">
        <v>0</v>
      </c>
      <c r="AD322" s="46" t="s">
        <v>67</v>
      </c>
      <c r="AE322" s="46">
        <v>24</v>
      </c>
    </row>
    <row r="323" spans="1:31" x14ac:dyDescent="0.25">
      <c r="A323" s="46" t="s">
        <v>57</v>
      </c>
      <c r="B323" s="46" t="s">
        <v>58</v>
      </c>
      <c r="C323" s="12" t="s">
        <v>571</v>
      </c>
      <c r="D323" s="46">
        <v>29001119</v>
      </c>
      <c r="E323" s="47">
        <v>45154</v>
      </c>
      <c r="F323" s="47">
        <v>45154</v>
      </c>
      <c r="G323" s="46">
        <v>1</v>
      </c>
      <c r="H323" s="47">
        <v>45271</v>
      </c>
      <c r="I323" s="47">
        <v>45273</v>
      </c>
      <c r="J323" s="46">
        <v>2</v>
      </c>
      <c r="K323" s="47">
        <v>45139</v>
      </c>
      <c r="L323" s="47">
        <v>45291</v>
      </c>
      <c r="M323" s="46">
        <v>99152</v>
      </c>
      <c r="N323" s="12" t="s">
        <v>539</v>
      </c>
      <c r="O323" s="46" t="s">
        <v>91</v>
      </c>
      <c r="P323" s="46" t="s">
        <v>529</v>
      </c>
      <c r="Q323" s="46">
        <v>75</v>
      </c>
      <c r="R323" s="46">
        <v>75</v>
      </c>
      <c r="S323" s="46">
        <v>0</v>
      </c>
      <c r="T323" s="46">
        <v>0</v>
      </c>
      <c r="U323" s="48">
        <v>0</v>
      </c>
      <c r="V323" s="46" t="s">
        <v>44</v>
      </c>
      <c r="W323" s="46">
        <v>223411568</v>
      </c>
      <c r="X323" s="46" t="s">
        <v>578</v>
      </c>
      <c r="Y323" s="46" t="s">
        <v>64</v>
      </c>
      <c r="Z323" s="46" t="s">
        <v>575</v>
      </c>
      <c r="AA323" s="12" t="s">
        <v>576</v>
      </c>
      <c r="AB323" s="46">
        <v>0</v>
      </c>
      <c r="AD323" s="46" t="s">
        <v>67</v>
      </c>
      <c r="AE323" s="46">
        <v>24</v>
      </c>
    </row>
    <row r="324" spans="1:31" x14ac:dyDescent="0.25">
      <c r="A324" s="46" t="s">
        <v>57</v>
      </c>
      <c r="B324" s="46" t="s">
        <v>58</v>
      </c>
      <c r="C324" s="12" t="s">
        <v>571</v>
      </c>
      <c r="D324" s="46">
        <v>29305114</v>
      </c>
      <c r="E324" s="47">
        <v>45208</v>
      </c>
      <c r="F324" s="47">
        <v>45208</v>
      </c>
      <c r="G324" s="46">
        <v>1</v>
      </c>
      <c r="H324" s="47">
        <v>45223</v>
      </c>
      <c r="I324" s="47">
        <v>45238</v>
      </c>
      <c r="J324" s="46">
        <v>15</v>
      </c>
      <c r="K324" s="47">
        <v>45139</v>
      </c>
      <c r="L324" s="47">
        <v>45291</v>
      </c>
      <c r="M324" s="46">
        <v>99204</v>
      </c>
      <c r="N324" s="12" t="s">
        <v>564</v>
      </c>
      <c r="O324" s="46" t="s">
        <v>78</v>
      </c>
      <c r="P324" s="46" t="s">
        <v>529</v>
      </c>
      <c r="Q324" s="46">
        <v>250</v>
      </c>
      <c r="R324" s="46">
        <v>0</v>
      </c>
      <c r="S324" s="46">
        <v>88.05</v>
      </c>
      <c r="T324" s="46">
        <v>161.94999999999999</v>
      </c>
      <c r="U324" s="48">
        <v>0.35220000000000001</v>
      </c>
      <c r="V324" s="46" t="s">
        <v>44</v>
      </c>
      <c r="W324" s="46">
        <v>223336384</v>
      </c>
      <c r="X324" s="46">
        <v>101723748382896</v>
      </c>
      <c r="Y324" s="46" t="s">
        <v>64</v>
      </c>
      <c r="Z324" s="46" t="s">
        <v>113</v>
      </c>
      <c r="AA324" s="12" t="s">
        <v>114</v>
      </c>
      <c r="AB324" s="46">
        <v>0</v>
      </c>
      <c r="AD324" s="46" t="s">
        <v>67</v>
      </c>
      <c r="AE324" s="46">
        <v>11</v>
      </c>
    </row>
  </sheetData>
  <pageMargins left="0.7" right="0.7" top="0.75" bottom="0.75" header="0.3" footer="0.3"/>
  <pageSetup orientation="landscape" verticalDpi="0" r:id="rId1"/>
  <headerFooter>
    <oddHeader>&amp;CATTACHMENT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153</vt:i4>
      </vt:variant>
    </vt:vector>
  </HeadingPairs>
  <TitlesOfParts>
    <vt:vector size="158" baseType="lpstr">
      <vt:lpstr>Aug thru Dec 2023</vt:lpstr>
      <vt:lpstr>Staff Hrs</vt:lpstr>
      <vt:lpstr>POS Hours</vt:lpstr>
      <vt:lpstr>Claims Pivot</vt:lpstr>
      <vt:lpstr>Claims Detail Aug-Dec 2023</vt:lpstr>
      <vt:lpstr>'Aug thru Dec 2023'!OSRRefB13_0_0x_0</vt:lpstr>
      <vt:lpstr>'Aug thru Dec 2023'!OSRRefB13_0_0x_1</vt:lpstr>
      <vt:lpstr>'Aug thru Dec 2023'!OSRRefB13_0_0x_2</vt:lpstr>
      <vt:lpstr>'Aug thru Dec 2023'!OSRRefB13_0_0x_3</vt:lpstr>
      <vt:lpstr>'Aug thru Dec 2023'!OSRRefB13_0_0x_4</vt:lpstr>
      <vt:lpstr>'Aug thru Dec 2023'!OSRRefB13_1_0x_0</vt:lpstr>
      <vt:lpstr>'Aug thru Dec 2023'!OSRRefB13_1_0x_1</vt:lpstr>
      <vt:lpstr>'Aug thru Dec 2023'!OSRRefB13_1_0x_2</vt:lpstr>
      <vt:lpstr>'Aug thru Dec 2023'!OSRRefB13_1_0x_3</vt:lpstr>
      <vt:lpstr>'Aug thru Dec 2023'!OSRRefB13_1_0x_4</vt:lpstr>
      <vt:lpstr>'Aug thru Dec 2023'!OSRRefB13_1_1x_0</vt:lpstr>
      <vt:lpstr>'Aug thru Dec 2023'!OSRRefB13_1_1x_1</vt:lpstr>
      <vt:lpstr>'Aug thru Dec 2023'!OSRRefB13_1_1x_2</vt:lpstr>
      <vt:lpstr>'Aug thru Dec 2023'!OSRRefB13_1_1x_3</vt:lpstr>
      <vt:lpstr>'Aug thru Dec 2023'!OSRRefB13_1_1x_4</vt:lpstr>
      <vt:lpstr>'Aug thru Dec 2023'!OSRRefB13_2_0x_0</vt:lpstr>
      <vt:lpstr>'Aug thru Dec 2023'!OSRRefB13_2_0x_1</vt:lpstr>
      <vt:lpstr>'Aug thru Dec 2023'!OSRRefB13_2_0x_2</vt:lpstr>
      <vt:lpstr>'Aug thru Dec 2023'!OSRRefB13_2_0x_3</vt:lpstr>
      <vt:lpstr>'Aug thru Dec 2023'!OSRRefB13_2_0x_4</vt:lpstr>
      <vt:lpstr>'Aug thru Dec 2023'!OSRRefB13_3_0x_0</vt:lpstr>
      <vt:lpstr>'Aug thru Dec 2023'!OSRRefB13_3_0x_1</vt:lpstr>
      <vt:lpstr>'Aug thru Dec 2023'!OSRRefB13_3_0x_2</vt:lpstr>
      <vt:lpstr>'Aug thru Dec 2023'!OSRRefB13_3_0x_3</vt:lpstr>
      <vt:lpstr>'Aug thru Dec 2023'!OSRRefB13_3_0x_4</vt:lpstr>
      <vt:lpstr>'Aug thru Dec 2023'!OSRRefB14_0x_0</vt:lpstr>
      <vt:lpstr>'Aug thru Dec 2023'!OSRRefB14_0x_1</vt:lpstr>
      <vt:lpstr>'Aug thru Dec 2023'!OSRRefB14_0x_2</vt:lpstr>
      <vt:lpstr>'Aug thru Dec 2023'!OSRRefB14_0x_3</vt:lpstr>
      <vt:lpstr>'Aug thru Dec 2023'!OSRRefB14_0x_4</vt:lpstr>
      <vt:lpstr>'Aug thru Dec 2023'!OSRRefB14_1x_0</vt:lpstr>
      <vt:lpstr>'Aug thru Dec 2023'!OSRRefB14_1x_1</vt:lpstr>
      <vt:lpstr>'Aug thru Dec 2023'!OSRRefB14_1x_2</vt:lpstr>
      <vt:lpstr>'Aug thru Dec 2023'!OSRRefB14_1x_3</vt:lpstr>
      <vt:lpstr>'Aug thru Dec 2023'!OSRRefB14_1x_4</vt:lpstr>
      <vt:lpstr>'Aug thru Dec 2023'!OSRRefB14_2x_0</vt:lpstr>
      <vt:lpstr>'Aug thru Dec 2023'!OSRRefB14_2x_1</vt:lpstr>
      <vt:lpstr>'Aug thru Dec 2023'!OSRRefB14_2x_2</vt:lpstr>
      <vt:lpstr>'Aug thru Dec 2023'!OSRRefB14_2x_3</vt:lpstr>
      <vt:lpstr>'Aug thru Dec 2023'!OSRRefB14_2x_4</vt:lpstr>
      <vt:lpstr>'Aug thru Dec 2023'!OSRRefB14_3x_0</vt:lpstr>
      <vt:lpstr>'Aug thru Dec 2023'!OSRRefB14_3x_1</vt:lpstr>
      <vt:lpstr>'Aug thru Dec 2023'!OSRRefB14_3x_2</vt:lpstr>
      <vt:lpstr>'Aug thru Dec 2023'!OSRRefB14_3x_3</vt:lpstr>
      <vt:lpstr>'Aug thru Dec 2023'!OSRRefB14_3x_4</vt:lpstr>
      <vt:lpstr>'Aug thru Dec 2023'!OSRRefB15x_0</vt:lpstr>
      <vt:lpstr>'Aug thru Dec 2023'!OSRRefB15x_1</vt:lpstr>
      <vt:lpstr>'Aug thru Dec 2023'!OSRRefB15x_2</vt:lpstr>
      <vt:lpstr>'Aug thru Dec 2023'!OSRRefB15x_3</vt:lpstr>
      <vt:lpstr>'Aug thru Dec 2023'!OSRRefB15x_4</vt:lpstr>
      <vt:lpstr>'Aug thru Dec 2023'!OSRRefB17x_0</vt:lpstr>
      <vt:lpstr>'Aug thru Dec 2023'!OSRRefB17x_1</vt:lpstr>
      <vt:lpstr>'Aug thru Dec 2023'!OSRRefB17x_2</vt:lpstr>
      <vt:lpstr>'Aug thru Dec 2023'!OSRRefB17x_3</vt:lpstr>
      <vt:lpstr>'Aug thru Dec 2023'!OSRRefB17x_4</vt:lpstr>
      <vt:lpstr>'Aug thru Dec 2023'!OSRRefB20_0_0x_0</vt:lpstr>
      <vt:lpstr>'Aug thru Dec 2023'!OSRRefB20_0_0x_1</vt:lpstr>
      <vt:lpstr>'Aug thru Dec 2023'!OSRRefB20_0_0x_2</vt:lpstr>
      <vt:lpstr>'Aug thru Dec 2023'!OSRRefB20_0_0x_3</vt:lpstr>
      <vt:lpstr>'Aug thru Dec 2023'!OSRRefB20_0_0x_4</vt:lpstr>
      <vt:lpstr>'Aug thru Dec 2023'!OSRRefB20_0_1x_0</vt:lpstr>
      <vt:lpstr>'Aug thru Dec 2023'!OSRRefB20_0_1x_1</vt:lpstr>
      <vt:lpstr>'Aug thru Dec 2023'!OSRRefB20_0_1x_2</vt:lpstr>
      <vt:lpstr>'Aug thru Dec 2023'!OSRRefB20_0_1x_3</vt:lpstr>
      <vt:lpstr>'Aug thru Dec 2023'!OSRRefB20_0_1x_4</vt:lpstr>
      <vt:lpstr>'Aug thru Dec 2023'!OSRRefB20_0_2x_0</vt:lpstr>
      <vt:lpstr>'Aug thru Dec 2023'!OSRRefB20_0_2x_1</vt:lpstr>
      <vt:lpstr>'Aug thru Dec 2023'!OSRRefB20_0_2x_2</vt:lpstr>
      <vt:lpstr>'Aug thru Dec 2023'!OSRRefB20_0_2x_3</vt:lpstr>
      <vt:lpstr>'Aug thru Dec 2023'!OSRRefB20_0_2x_4</vt:lpstr>
      <vt:lpstr>'Aug thru Dec 2023'!OSRRefB20_1_0x_0</vt:lpstr>
      <vt:lpstr>'Aug thru Dec 2023'!OSRRefB20_1_0x_1</vt:lpstr>
      <vt:lpstr>'Aug thru Dec 2023'!OSRRefB20_1_0x_2</vt:lpstr>
      <vt:lpstr>'Aug thru Dec 2023'!OSRRefB20_1_0x_3</vt:lpstr>
      <vt:lpstr>'Aug thru Dec 2023'!OSRRefB20_1_0x_4</vt:lpstr>
      <vt:lpstr>'Aug thru Dec 2023'!OSRRefB21_0x_0</vt:lpstr>
      <vt:lpstr>'Aug thru Dec 2023'!OSRRefB21_0x_1</vt:lpstr>
      <vt:lpstr>'Aug thru Dec 2023'!OSRRefB21_0x_2</vt:lpstr>
      <vt:lpstr>'Aug thru Dec 2023'!OSRRefB21_0x_3</vt:lpstr>
      <vt:lpstr>'Aug thru Dec 2023'!OSRRefB21_0x_4</vt:lpstr>
      <vt:lpstr>'Aug thru Dec 2023'!OSRRefB21_1x_0</vt:lpstr>
      <vt:lpstr>'Aug thru Dec 2023'!OSRRefB21_1x_1</vt:lpstr>
      <vt:lpstr>'Aug thru Dec 2023'!OSRRefB21_1x_2</vt:lpstr>
      <vt:lpstr>'Aug thru Dec 2023'!OSRRefB21_1x_3</vt:lpstr>
      <vt:lpstr>'Aug thru Dec 2023'!OSRRefB21_1x_4</vt:lpstr>
      <vt:lpstr>'Aug thru Dec 2023'!OSRRefB22x_0</vt:lpstr>
      <vt:lpstr>'Aug thru Dec 2023'!OSRRefB22x_1</vt:lpstr>
      <vt:lpstr>'Aug thru Dec 2023'!OSRRefB22x_2</vt:lpstr>
      <vt:lpstr>'Aug thru Dec 2023'!OSRRefB22x_3</vt:lpstr>
      <vt:lpstr>'Aug thru Dec 2023'!OSRRefB22x_4</vt:lpstr>
      <vt:lpstr>'Aug thru Dec 2023'!OSRRefB6_0_0x_0</vt:lpstr>
      <vt:lpstr>'Aug thru Dec 2023'!OSRRefB6_0_0x_1</vt:lpstr>
      <vt:lpstr>'Aug thru Dec 2023'!OSRRefB6_0_0x_2</vt:lpstr>
      <vt:lpstr>'Aug thru Dec 2023'!OSRRefB6_0_0x_3</vt:lpstr>
      <vt:lpstr>'Aug thru Dec 2023'!OSRRefB6_0_0x_4</vt:lpstr>
      <vt:lpstr>'Aug thru Dec 2023'!OSRRefB6_1_0x_0</vt:lpstr>
      <vt:lpstr>'Aug thru Dec 2023'!OSRRefB6_1_0x_1</vt:lpstr>
      <vt:lpstr>'Aug thru Dec 2023'!OSRRefB6_1_0x_2</vt:lpstr>
      <vt:lpstr>'Aug thru Dec 2023'!OSRRefB6_1_0x_3</vt:lpstr>
      <vt:lpstr>'Aug thru Dec 2023'!OSRRefB6_1_0x_4</vt:lpstr>
      <vt:lpstr>'Aug thru Dec 2023'!OSRRefB6_2_0x_0</vt:lpstr>
      <vt:lpstr>'Aug thru Dec 2023'!OSRRefB6_2_0x_1</vt:lpstr>
      <vt:lpstr>'Aug thru Dec 2023'!OSRRefB6_2_0x_2</vt:lpstr>
      <vt:lpstr>'Aug thru Dec 2023'!OSRRefB6_2_0x_3</vt:lpstr>
      <vt:lpstr>'Aug thru Dec 2023'!OSRRefB6_2_0x_4</vt:lpstr>
      <vt:lpstr>'Aug thru Dec 2023'!OSRRefB6_2_1x_0</vt:lpstr>
      <vt:lpstr>'Aug thru Dec 2023'!OSRRefB6_2_1x_1</vt:lpstr>
      <vt:lpstr>'Aug thru Dec 2023'!OSRRefB6_2_1x_2</vt:lpstr>
      <vt:lpstr>'Aug thru Dec 2023'!OSRRefB6_2_1x_3</vt:lpstr>
      <vt:lpstr>'Aug thru Dec 2023'!OSRRefB6_2_1x_4</vt:lpstr>
      <vt:lpstr>'Aug thru Dec 2023'!OSRRefB6_2_2x_0</vt:lpstr>
      <vt:lpstr>'Aug thru Dec 2023'!OSRRefB6_2_2x_1</vt:lpstr>
      <vt:lpstr>'Aug thru Dec 2023'!OSRRefB6_2_2x_2</vt:lpstr>
      <vt:lpstr>'Aug thru Dec 2023'!OSRRefB6_2_2x_3</vt:lpstr>
      <vt:lpstr>'Aug thru Dec 2023'!OSRRefB6_2_2x_4</vt:lpstr>
      <vt:lpstr>'Aug thru Dec 2023'!OSRRefB6_2_3x_0</vt:lpstr>
      <vt:lpstr>'Aug thru Dec 2023'!OSRRefB6_2_3x_1</vt:lpstr>
      <vt:lpstr>'Aug thru Dec 2023'!OSRRefB6_2_3x_2</vt:lpstr>
      <vt:lpstr>'Aug thru Dec 2023'!OSRRefB6_2_3x_3</vt:lpstr>
      <vt:lpstr>'Aug thru Dec 2023'!OSRRefB6_2_3x_4</vt:lpstr>
      <vt:lpstr>'Aug thru Dec 2023'!OSRRefB6_3_0x_0</vt:lpstr>
      <vt:lpstr>'Aug thru Dec 2023'!OSRRefB6_3_0x_1</vt:lpstr>
      <vt:lpstr>'Aug thru Dec 2023'!OSRRefB6_3_0x_2</vt:lpstr>
      <vt:lpstr>'Aug thru Dec 2023'!OSRRefB6_3_0x_3</vt:lpstr>
      <vt:lpstr>'Aug thru Dec 2023'!OSRRefB6_3_0x_4</vt:lpstr>
      <vt:lpstr>'Aug thru Dec 2023'!OSRRefB7_0x_0</vt:lpstr>
      <vt:lpstr>'Aug thru Dec 2023'!OSRRefB7_0x_1</vt:lpstr>
      <vt:lpstr>'Aug thru Dec 2023'!OSRRefB7_0x_2</vt:lpstr>
      <vt:lpstr>'Aug thru Dec 2023'!OSRRefB7_0x_3</vt:lpstr>
      <vt:lpstr>'Aug thru Dec 2023'!OSRRefB7_0x_4</vt:lpstr>
      <vt:lpstr>'Aug thru Dec 2023'!OSRRefB7_1x_0</vt:lpstr>
      <vt:lpstr>'Aug thru Dec 2023'!OSRRefB7_1x_1</vt:lpstr>
      <vt:lpstr>'Aug thru Dec 2023'!OSRRefB7_1x_2</vt:lpstr>
      <vt:lpstr>'Aug thru Dec 2023'!OSRRefB7_1x_3</vt:lpstr>
      <vt:lpstr>'Aug thru Dec 2023'!OSRRefB7_1x_4</vt:lpstr>
      <vt:lpstr>'Aug thru Dec 2023'!OSRRefB7_2x_0</vt:lpstr>
      <vt:lpstr>'Aug thru Dec 2023'!OSRRefB7_2x_1</vt:lpstr>
      <vt:lpstr>'Aug thru Dec 2023'!OSRRefB7_2x_2</vt:lpstr>
      <vt:lpstr>'Aug thru Dec 2023'!OSRRefB7_2x_3</vt:lpstr>
      <vt:lpstr>'Aug thru Dec 2023'!OSRRefB7_2x_4</vt:lpstr>
      <vt:lpstr>'Aug thru Dec 2023'!OSRRefB7_3x_0</vt:lpstr>
      <vt:lpstr>'Aug thru Dec 2023'!OSRRefB7_3x_1</vt:lpstr>
      <vt:lpstr>'Aug thru Dec 2023'!OSRRefB7_3x_2</vt:lpstr>
      <vt:lpstr>'Aug thru Dec 2023'!OSRRefB7_3x_3</vt:lpstr>
      <vt:lpstr>'Aug thru Dec 2023'!OSRRefB7_3x_4</vt:lpstr>
      <vt:lpstr>'Aug thru Dec 2023'!OSRRefB8x_0</vt:lpstr>
      <vt:lpstr>'Aug thru Dec 2023'!OSRRefB8x_1</vt:lpstr>
      <vt:lpstr>'Aug thru Dec 2023'!OSRRefB8x_2</vt:lpstr>
      <vt:lpstr>'Aug thru Dec 2023'!OSRRefB8x_3</vt:lpstr>
      <vt:lpstr>'Aug thru Dec 2023'!OSRRefB8x_4</vt:lpstr>
      <vt:lpstr>'Staff Hrs'!Print_Area</vt:lpstr>
      <vt:lpstr>'POS Hours'!Print_Titles</vt:lpstr>
      <vt:lpstr>'Staff Hrs'!Print_Titles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Coleman</dc:creator>
  <cp:lastModifiedBy>Krejci, Cheryl</cp:lastModifiedBy>
  <cp:lastPrinted>2024-04-10T19:48:16Z</cp:lastPrinted>
  <dcterms:created xsi:type="dcterms:W3CDTF">2024-02-19T18:57:28Z</dcterms:created>
  <dcterms:modified xsi:type="dcterms:W3CDTF">2024-04-10T19:50:14Z</dcterms:modified>
</cp:coreProperties>
</file>